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CM\Everest.PM.source\Calculation tool\"/>
    </mc:Choice>
  </mc:AlternateContent>
  <workbookProtection workbookPassword="D3D3" lockStructure="1"/>
  <bookViews>
    <workbookView xWindow="0" yWindow="0" windowWidth="19200" windowHeight="11640" firstSheet="1" activeTab="1"/>
  </bookViews>
  <sheets>
    <sheet name="Data" sheetId="1" state="veryHidden" r:id="rId1"/>
    <sheet name="Intro" sheetId="3" r:id="rId2"/>
    <sheet name="Calculate" sheetId="2" r:id="rId3"/>
    <sheet name="Revision history" sheetId="4" state="veryHidden" r:id="rId4"/>
  </sheets>
  <definedNames>
    <definedName name="Current">Calculate!$H$2</definedName>
    <definedName name="ITooLow">Calculate!$J$2</definedName>
    <definedName name="Unit">Calculate!$D$2</definedName>
    <definedName name="VTooLow">Calculate!$I$2</definedName>
  </definedName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3" i="2"/>
  <c r="E42" i="2" l="1"/>
  <c r="E38" i="2"/>
  <c r="E39" i="2"/>
  <c r="E40" i="2"/>
  <c r="E41" i="2"/>
  <c r="E37" i="2"/>
  <c r="E36" i="2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M1" i="2" l="1"/>
  <c r="F2" i="2" l="1"/>
  <c r="F3" i="2" s="1"/>
  <c r="I3" i="2" s="1"/>
  <c r="I57" i="1"/>
  <c r="E57" i="1"/>
  <c r="C57" i="1"/>
  <c r="I56" i="1"/>
  <c r="C56" i="1"/>
  <c r="E56" i="1" s="1"/>
  <c r="I55" i="1"/>
  <c r="E55" i="1"/>
  <c r="C55" i="1"/>
  <c r="I54" i="1"/>
  <c r="C54" i="1"/>
  <c r="E54" i="1" s="1"/>
  <c r="I53" i="1"/>
  <c r="E53" i="1"/>
  <c r="C53" i="1"/>
  <c r="I52" i="1"/>
  <c r="C52" i="1"/>
  <c r="E52" i="1" s="1"/>
  <c r="I51" i="1"/>
  <c r="E51" i="1"/>
  <c r="C51" i="1"/>
  <c r="I50" i="1"/>
  <c r="C50" i="1"/>
  <c r="E50" i="1" s="1"/>
  <c r="I49" i="1"/>
  <c r="E49" i="1"/>
  <c r="C49" i="1"/>
  <c r="I48" i="1"/>
  <c r="C48" i="1"/>
  <c r="E48" i="1" s="1"/>
  <c r="I47" i="1"/>
  <c r="E47" i="1"/>
  <c r="C47" i="1"/>
  <c r="I46" i="1"/>
  <c r="C46" i="1"/>
  <c r="E46" i="1" s="1"/>
  <c r="I45" i="1"/>
  <c r="E45" i="1"/>
  <c r="C45" i="1"/>
  <c r="I44" i="1"/>
  <c r="C44" i="1"/>
  <c r="E44" i="1" s="1"/>
  <c r="I43" i="1"/>
  <c r="E43" i="1"/>
  <c r="C43" i="1"/>
  <c r="I42" i="1"/>
  <c r="C42" i="1"/>
  <c r="E42" i="1" s="1"/>
  <c r="I41" i="1"/>
  <c r="E41" i="1"/>
  <c r="C41" i="1"/>
  <c r="I40" i="1"/>
  <c r="C40" i="1"/>
  <c r="E40" i="1" s="1"/>
  <c r="I39" i="1"/>
  <c r="E39" i="1"/>
  <c r="C39" i="1"/>
  <c r="M38" i="1"/>
  <c r="I38" i="1"/>
  <c r="C38" i="1"/>
  <c r="E38" i="1" s="1"/>
  <c r="M37" i="1"/>
  <c r="I37" i="1" s="1"/>
  <c r="E37" i="1"/>
  <c r="G37" i="1" s="1"/>
  <c r="K4" i="1"/>
  <c r="B4" i="1"/>
  <c r="G38" i="1" l="1"/>
  <c r="G39" i="1" s="1"/>
  <c r="G3" i="2"/>
  <c r="H3" i="2" s="1"/>
  <c r="J3" i="2" s="1"/>
  <c r="K3" i="2" s="1"/>
  <c r="F4" i="2" l="1"/>
  <c r="G4" i="2" s="1"/>
  <c r="H4" i="2" s="1"/>
  <c r="J4" i="2" s="1"/>
  <c r="K39" i="1"/>
  <c r="K38" i="1"/>
  <c r="M39" i="1" s="1"/>
  <c r="M40" i="1" s="1"/>
  <c r="I4" i="2" l="1"/>
  <c r="K4" i="2" s="1"/>
  <c r="G40" i="1"/>
  <c r="F5" i="2"/>
  <c r="G5" i="2" s="1"/>
  <c r="H5" i="2" s="1"/>
  <c r="J5" i="2" s="1"/>
  <c r="G41" i="1" l="1"/>
  <c r="K40" i="1"/>
  <c r="M41" i="1" s="1"/>
  <c r="I5" i="2"/>
  <c r="K5" i="2" s="1"/>
  <c r="F6" i="2"/>
  <c r="G6" i="2" s="1"/>
  <c r="H6" i="2" s="1"/>
  <c r="G42" i="1" l="1"/>
  <c r="K41" i="1"/>
  <c r="M42" i="1" s="1"/>
  <c r="I6" i="2"/>
  <c r="J6" i="2"/>
  <c r="F7" i="2"/>
  <c r="I7" i="2" s="1"/>
  <c r="G43" i="1" l="1"/>
  <c r="K42" i="1"/>
  <c r="M43" i="1" s="1"/>
  <c r="K6" i="2"/>
  <c r="G7" i="2"/>
  <c r="H7" i="2" s="1"/>
  <c r="J7" i="2" s="1"/>
  <c r="G44" i="1" l="1"/>
  <c r="K43" i="1"/>
  <c r="M44" i="1" s="1"/>
  <c r="K7" i="2"/>
  <c r="F8" i="2"/>
  <c r="G45" i="1" l="1"/>
  <c r="K44" i="1"/>
  <c r="M45" i="1" s="1"/>
  <c r="G8" i="2"/>
  <c r="H8" i="2" s="1"/>
  <c r="J8" i="2" s="1"/>
  <c r="I8" i="2"/>
  <c r="G46" i="1" l="1"/>
  <c r="K45" i="1"/>
  <c r="M46" i="1" s="1"/>
  <c r="K8" i="2"/>
  <c r="F9" i="2"/>
  <c r="I9" i="2" s="1"/>
  <c r="G47" i="1" l="1"/>
  <c r="K46" i="1"/>
  <c r="M47" i="1" s="1"/>
  <c r="G9" i="2"/>
  <c r="H9" i="2" s="1"/>
  <c r="J9" i="2" s="1"/>
  <c r="K9" i="2" s="1"/>
  <c r="G48" i="1" l="1"/>
  <c r="K47" i="1"/>
  <c r="M48" i="1" s="1"/>
  <c r="F10" i="2"/>
  <c r="G10" i="2" s="1"/>
  <c r="H10" i="2" s="1"/>
  <c r="J10" i="2" s="1"/>
  <c r="G49" i="1" l="1"/>
  <c r="K48" i="1"/>
  <c r="M49" i="1" s="1"/>
  <c r="I10" i="2"/>
  <c r="K10" i="2" s="1"/>
  <c r="F11" i="2"/>
  <c r="G50" i="1" l="1"/>
  <c r="K49" i="1"/>
  <c r="M50" i="1" s="1"/>
  <c r="I11" i="2"/>
  <c r="G11" i="2"/>
  <c r="H11" i="2" s="1"/>
  <c r="J11" i="2" s="1"/>
  <c r="G51" i="1" l="1"/>
  <c r="K50" i="1"/>
  <c r="M51" i="1" s="1"/>
  <c r="K11" i="2"/>
  <c r="F12" i="2"/>
  <c r="G52" i="1" l="1"/>
  <c r="K51" i="1"/>
  <c r="M52" i="1" s="1"/>
  <c r="G12" i="2"/>
  <c r="H12" i="2" s="1"/>
  <c r="J12" i="2" s="1"/>
  <c r="I12" i="2"/>
  <c r="G53" i="1" l="1"/>
  <c r="K52" i="1"/>
  <c r="M53" i="1" s="1"/>
  <c r="K12" i="2"/>
  <c r="F13" i="2"/>
  <c r="G54" i="1" l="1"/>
  <c r="K53" i="1"/>
  <c r="M54" i="1" s="1"/>
  <c r="G13" i="2"/>
  <c r="H13" i="2" s="1"/>
  <c r="J13" i="2" s="1"/>
  <c r="I13" i="2"/>
  <c r="G55" i="1" l="1"/>
  <c r="K54" i="1"/>
  <c r="M55" i="1" s="1"/>
  <c r="K13" i="2"/>
  <c r="F14" i="2"/>
  <c r="G56" i="1" l="1"/>
  <c r="K55" i="1"/>
  <c r="M56" i="1" s="1"/>
  <c r="I14" i="2"/>
  <c r="G14" i="2"/>
  <c r="H14" i="2" s="1"/>
  <c r="J14" i="2" s="1"/>
  <c r="G57" i="1" l="1"/>
  <c r="K57" i="1" s="1"/>
  <c r="K56" i="1"/>
  <c r="M57" i="1" s="1"/>
  <c r="K14" i="2"/>
  <c r="F15" i="2"/>
  <c r="G15" i="2" l="1"/>
  <c r="H15" i="2" s="1"/>
  <c r="J15" i="2" s="1"/>
  <c r="I15" i="2"/>
  <c r="K15" i="2" l="1"/>
  <c r="F16" i="2"/>
  <c r="I16" i="2" l="1"/>
  <c r="G16" i="2"/>
  <c r="H16" i="2" s="1"/>
  <c r="J16" i="2" s="1"/>
  <c r="K16" i="2" l="1"/>
  <c r="F17" i="2"/>
  <c r="I17" i="2" l="1"/>
  <c r="G17" i="2"/>
  <c r="H17" i="2" s="1"/>
  <c r="J17" i="2" s="1"/>
  <c r="K17" i="2" l="1"/>
  <c r="F18" i="2"/>
  <c r="I18" i="2" l="1"/>
  <c r="G18" i="2"/>
  <c r="H18" i="2" s="1"/>
  <c r="J18" i="2" s="1"/>
  <c r="K18" i="2" l="1"/>
  <c r="F19" i="2"/>
  <c r="I19" i="2" l="1"/>
  <c r="G19" i="2"/>
  <c r="H19" i="2" s="1"/>
  <c r="J19" i="2" s="1"/>
  <c r="K19" i="2" l="1"/>
  <c r="F20" i="2"/>
  <c r="I20" i="2" l="1"/>
  <c r="G20" i="2"/>
  <c r="H20" i="2" s="1"/>
  <c r="J20" i="2" s="1"/>
  <c r="K20" i="2" l="1"/>
  <c r="F21" i="2"/>
  <c r="I21" i="2" l="1"/>
  <c r="G21" i="2"/>
  <c r="H21" i="2" s="1"/>
  <c r="J21" i="2" s="1"/>
  <c r="K21" i="2" l="1"/>
  <c r="F22" i="2"/>
  <c r="I22" i="2" l="1"/>
  <c r="G22" i="2"/>
  <c r="H22" i="2" s="1"/>
  <c r="J22" i="2" s="1"/>
  <c r="K22" i="2" l="1"/>
  <c r="F23" i="2"/>
  <c r="I23" i="2" l="1"/>
  <c r="G23" i="2"/>
  <c r="H23" i="2" s="1"/>
  <c r="J23" i="2" s="1"/>
  <c r="K23" i="2" l="1"/>
  <c r="F24" i="2"/>
  <c r="G24" i="2" l="1"/>
  <c r="H24" i="2" s="1"/>
  <c r="J24" i="2" s="1"/>
  <c r="I24" i="2"/>
  <c r="K24" i="2" l="1"/>
  <c r="F25" i="2"/>
  <c r="G25" i="2" l="1"/>
  <c r="H25" i="2" s="1"/>
  <c r="J25" i="2" s="1"/>
  <c r="I25" i="2"/>
  <c r="K25" i="2" l="1"/>
  <c r="F26" i="2"/>
  <c r="I26" i="2" l="1"/>
  <c r="G26" i="2"/>
  <c r="H26" i="2" s="1"/>
  <c r="J26" i="2" s="1"/>
  <c r="K26" i="2" l="1"/>
  <c r="F27" i="2"/>
  <c r="G27" i="2" l="1"/>
  <c r="H27" i="2" s="1"/>
  <c r="J27" i="2" s="1"/>
  <c r="I27" i="2"/>
  <c r="K27" i="2" l="1"/>
  <c r="F28" i="2"/>
  <c r="G28" i="2" l="1"/>
  <c r="H28" i="2" s="1"/>
  <c r="J28" i="2" s="1"/>
  <c r="I28" i="2"/>
  <c r="K28" i="2" l="1"/>
  <c r="F29" i="2"/>
  <c r="G29" i="2" l="1"/>
  <c r="H29" i="2" s="1"/>
  <c r="J29" i="2" s="1"/>
  <c r="I29" i="2"/>
  <c r="K29" i="2" l="1"/>
  <c r="F30" i="2"/>
  <c r="I30" i="2" l="1"/>
  <c r="G30" i="2"/>
  <c r="H30" i="2" s="1"/>
  <c r="J30" i="2" s="1"/>
  <c r="K30" i="2" l="1"/>
  <c r="F31" i="2"/>
  <c r="G31" i="2" l="1"/>
  <c r="H31" i="2" s="1"/>
  <c r="J31" i="2" s="1"/>
  <c r="I31" i="2"/>
  <c r="K31" i="2" l="1"/>
  <c r="F32" i="2"/>
  <c r="I32" i="2" l="1"/>
  <c r="G32" i="2"/>
  <c r="H32" i="2" s="1"/>
  <c r="J32" i="2" s="1"/>
  <c r="K32" i="2" l="1"/>
  <c r="F33" i="2"/>
  <c r="I33" i="2" l="1"/>
  <c r="G33" i="2"/>
  <c r="H33" i="2" s="1"/>
  <c r="J33" i="2" s="1"/>
  <c r="K33" i="2" l="1"/>
  <c r="F34" i="2"/>
  <c r="G34" i="2" l="1"/>
  <c r="H34" i="2" s="1"/>
  <c r="J34" i="2" s="1"/>
  <c r="I34" i="2"/>
  <c r="K34" i="2" l="1"/>
  <c r="F35" i="2"/>
  <c r="I35" i="2" l="1"/>
  <c r="G35" i="2"/>
  <c r="H35" i="2" s="1"/>
  <c r="J35" i="2" s="1"/>
  <c r="K35" i="2" l="1"/>
  <c r="F36" i="2"/>
  <c r="G36" i="2" s="1"/>
  <c r="H36" i="2" s="1"/>
  <c r="J36" i="2" s="1"/>
  <c r="I36" i="2" l="1"/>
  <c r="K36" i="2" s="1"/>
  <c r="F37" i="2"/>
  <c r="G37" i="2" l="1"/>
  <c r="H37" i="2" s="1"/>
  <c r="J37" i="2" s="1"/>
  <c r="I37" i="2"/>
  <c r="K37" i="2" l="1"/>
  <c r="F38" i="2"/>
  <c r="I38" i="2" l="1"/>
  <c r="G38" i="2"/>
  <c r="H38" i="2" s="1"/>
  <c r="J38" i="2" s="1"/>
  <c r="K38" i="2" l="1"/>
  <c r="F39" i="2"/>
  <c r="G39" i="2" l="1"/>
  <c r="H39" i="2" s="1"/>
  <c r="J39" i="2" s="1"/>
  <c r="I39" i="2"/>
  <c r="K39" i="2" l="1"/>
  <c r="F40" i="2"/>
  <c r="G40" i="2" s="1"/>
  <c r="H40" i="2" s="1"/>
  <c r="J40" i="2" s="1"/>
  <c r="I40" i="2" l="1"/>
  <c r="K40" i="2" s="1"/>
  <c r="F41" i="2"/>
  <c r="I41" i="2" l="1"/>
  <c r="G41" i="2"/>
  <c r="H41" i="2" s="1"/>
  <c r="J41" i="2" s="1"/>
  <c r="K41" i="2" l="1"/>
  <c r="F42" i="2"/>
  <c r="I42" i="2" l="1"/>
  <c r="G42" i="2"/>
  <c r="H42" i="2" s="1"/>
  <c r="J42" i="2" s="1"/>
  <c r="K42" i="2" l="1"/>
  <c r="J2" i="2"/>
  <c r="I2" i="2"/>
</calcChain>
</file>

<file path=xl/sharedStrings.xml><?xml version="1.0" encoding="utf-8"?>
<sst xmlns="http://schemas.openxmlformats.org/spreadsheetml/2006/main" count="255" uniqueCount="193">
  <si>
    <t>U0</t>
  </si>
  <si>
    <t>V</t>
  </si>
  <si>
    <t>Voltage power source</t>
  </si>
  <si>
    <t>Io</t>
  </si>
  <si>
    <t>A</t>
  </si>
  <si>
    <t>Current Power source</t>
  </si>
  <si>
    <t>Watt</t>
  </si>
  <si>
    <t>Power</t>
  </si>
  <si>
    <t>Total available power</t>
  </si>
  <si>
    <t>Power per device</t>
  </si>
  <si>
    <t>PCF's</t>
  </si>
  <si>
    <t xml:space="preserve">m </t>
  </si>
  <si>
    <t>Standard Cable length per device</t>
  </si>
  <si>
    <t>Rcon</t>
  </si>
  <si>
    <t>mOhm</t>
  </si>
  <si>
    <t>Contact Resistance per contact</t>
  </si>
  <si>
    <t>Rcable</t>
  </si>
  <si>
    <t>ohm/km</t>
  </si>
  <si>
    <t>Cable resistance one way</t>
  </si>
  <si>
    <t>Node#</t>
  </si>
  <si>
    <t>Cable length</t>
  </si>
  <si>
    <t>meters</t>
  </si>
  <si>
    <t>Cable resistance</t>
  </si>
  <si>
    <t>Ohm</t>
  </si>
  <si>
    <t>Iload (mA)</t>
  </si>
  <si>
    <t>In (A)</t>
  </si>
  <si>
    <t>L0</t>
  </si>
  <si>
    <t>R0</t>
  </si>
  <si>
    <t>P0</t>
  </si>
  <si>
    <t>I0</t>
  </si>
  <si>
    <t>L1</t>
  </si>
  <si>
    <t>R1</t>
  </si>
  <si>
    <t>U1</t>
  </si>
  <si>
    <t>P1</t>
  </si>
  <si>
    <t>Ip1</t>
  </si>
  <si>
    <t>I1</t>
  </si>
  <si>
    <t>L2</t>
  </si>
  <si>
    <t>R2</t>
  </si>
  <si>
    <t>U2</t>
  </si>
  <si>
    <t>P2</t>
  </si>
  <si>
    <t>Ip2</t>
  </si>
  <si>
    <t>I2</t>
  </si>
  <si>
    <t>L3</t>
  </si>
  <si>
    <t>R3</t>
  </si>
  <si>
    <t>U3</t>
  </si>
  <si>
    <t>P3</t>
  </si>
  <si>
    <t>Ip3</t>
  </si>
  <si>
    <t>I3</t>
  </si>
  <si>
    <t>L4</t>
  </si>
  <si>
    <t>R4</t>
  </si>
  <si>
    <t>U4</t>
  </si>
  <si>
    <t>P4</t>
  </si>
  <si>
    <t>Ip4</t>
  </si>
  <si>
    <t>I4</t>
  </si>
  <si>
    <t>L5</t>
  </si>
  <si>
    <t>R5</t>
  </si>
  <si>
    <t>U5</t>
  </si>
  <si>
    <t>P5</t>
  </si>
  <si>
    <t>Ip5</t>
  </si>
  <si>
    <t>I5</t>
  </si>
  <si>
    <t>L6</t>
  </si>
  <si>
    <t>R6</t>
  </si>
  <si>
    <t>U6</t>
  </si>
  <si>
    <t>P6</t>
  </si>
  <si>
    <t>Ip6</t>
  </si>
  <si>
    <t>I6</t>
  </si>
  <si>
    <t>L7</t>
  </si>
  <si>
    <t>R7</t>
  </si>
  <si>
    <t>U7</t>
  </si>
  <si>
    <t>P7</t>
  </si>
  <si>
    <t>Ip7</t>
  </si>
  <si>
    <t>I7</t>
  </si>
  <si>
    <t>L8</t>
  </si>
  <si>
    <t>R8</t>
  </si>
  <si>
    <t>U8</t>
  </si>
  <si>
    <t>P8</t>
  </si>
  <si>
    <t>Ip8</t>
  </si>
  <si>
    <t>I8</t>
  </si>
  <si>
    <t>L9</t>
  </si>
  <si>
    <t>R9</t>
  </si>
  <si>
    <t>U9</t>
  </si>
  <si>
    <t>P9</t>
  </si>
  <si>
    <t>Ip9</t>
  </si>
  <si>
    <t>I9</t>
  </si>
  <si>
    <t>L10</t>
  </si>
  <si>
    <t>R10</t>
  </si>
  <si>
    <t>U10</t>
  </si>
  <si>
    <t>P10</t>
  </si>
  <si>
    <t>Ip10</t>
  </si>
  <si>
    <t>I10</t>
  </si>
  <si>
    <t>L11</t>
  </si>
  <si>
    <t>R11</t>
  </si>
  <si>
    <t>U11</t>
  </si>
  <si>
    <t>P11</t>
  </si>
  <si>
    <t>Ip11</t>
  </si>
  <si>
    <t>I11</t>
  </si>
  <si>
    <t>L12</t>
  </si>
  <si>
    <t>R12</t>
  </si>
  <si>
    <t>U12</t>
  </si>
  <si>
    <t>P12</t>
  </si>
  <si>
    <t>Ip12</t>
  </si>
  <si>
    <t>I12</t>
  </si>
  <si>
    <t>L13</t>
  </si>
  <si>
    <t>R13</t>
  </si>
  <si>
    <t>U13</t>
  </si>
  <si>
    <t>P13</t>
  </si>
  <si>
    <t>Ip13</t>
  </si>
  <si>
    <t>I13</t>
  </si>
  <si>
    <t>L14</t>
  </si>
  <si>
    <t>R14</t>
  </si>
  <si>
    <t>U14</t>
  </si>
  <si>
    <t>P14</t>
  </si>
  <si>
    <t>Ip14</t>
  </si>
  <si>
    <t>I14</t>
  </si>
  <si>
    <t>L15</t>
  </si>
  <si>
    <t>R15</t>
  </si>
  <si>
    <t>U15</t>
  </si>
  <si>
    <t>P15</t>
  </si>
  <si>
    <t>Ip15</t>
  </si>
  <si>
    <t>I15</t>
  </si>
  <si>
    <t>L16</t>
  </si>
  <si>
    <t>R16</t>
  </si>
  <si>
    <t>U16</t>
  </si>
  <si>
    <t>P16</t>
  </si>
  <si>
    <t>Ip16</t>
  </si>
  <si>
    <t>I16</t>
  </si>
  <si>
    <t>L17</t>
  </si>
  <si>
    <t>R17</t>
  </si>
  <si>
    <t>U17</t>
  </si>
  <si>
    <t>P17</t>
  </si>
  <si>
    <t>Ip17</t>
  </si>
  <si>
    <t>I17</t>
  </si>
  <si>
    <t>L18</t>
  </si>
  <si>
    <t>R18</t>
  </si>
  <si>
    <t>U18</t>
  </si>
  <si>
    <t>P18</t>
  </si>
  <si>
    <t>Ip18</t>
  </si>
  <si>
    <t>I18</t>
  </si>
  <si>
    <t>L19</t>
  </si>
  <si>
    <t>R19</t>
  </si>
  <si>
    <t>U19</t>
  </si>
  <si>
    <t>P19</t>
  </si>
  <si>
    <t>Ip19</t>
  </si>
  <si>
    <t>I19</t>
  </si>
  <si>
    <t>L20</t>
  </si>
  <si>
    <t>R20</t>
  </si>
  <si>
    <t>U20</t>
  </si>
  <si>
    <t>P20</t>
  </si>
  <si>
    <t>Ip20</t>
  </si>
  <si>
    <t>I20</t>
  </si>
  <si>
    <t>Power output</t>
  </si>
  <si>
    <t>DCNM-MMD</t>
  </si>
  <si>
    <t>Device</t>
  </si>
  <si>
    <t>CB resistance</t>
  </si>
  <si>
    <t xml:space="preserve"> U device V</t>
  </si>
  <si>
    <t>P device W</t>
  </si>
  <si>
    <t>Device type</t>
  </si>
  <si>
    <t>Date</t>
  </si>
  <si>
    <t>Version</t>
  </si>
  <si>
    <t>Have fun using this tool.</t>
  </si>
  <si>
    <t>Clearing the cable length cell will remove the complete line</t>
  </si>
  <si>
    <t>1.01</t>
  </si>
  <si>
    <t>Comment</t>
  </si>
  <si>
    <t>Initial version</t>
  </si>
  <si>
    <t>Author</t>
  </si>
  <si>
    <t>Sjack Schellekens</t>
  </si>
  <si>
    <t>Jeroen de Graauw</t>
  </si>
  <si>
    <t>Added revision history tab, and modified column width 'Calculate'B by splitting Cable Length over 2 lines</t>
  </si>
  <si>
    <t>1.02</t>
  </si>
  <si>
    <t>Enter the required cable length and the calculation will show you in red if the cable is too long.</t>
  </si>
  <si>
    <t>Derk-Jan Elshout</t>
  </si>
  <si>
    <t>added Feet</t>
  </si>
  <si>
    <t>Click the hyperlink of either meters or feet to enter the calculation sheet.</t>
  </si>
  <si>
    <t>DICENTIS Power Calculation Tool</t>
  </si>
  <si>
    <t>2.00</t>
  </si>
  <si>
    <t>DCNM-MMD2</t>
  </si>
  <si>
    <t>DCNM-D</t>
  </si>
  <si>
    <t>DCNM-DE</t>
  </si>
  <si>
    <t>Created master file with automatic protect feature</t>
  </si>
  <si>
    <t>V too low</t>
  </si>
  <si>
    <t>I too low</t>
  </si>
  <si>
    <t>2.01</t>
  </si>
  <si>
    <t>Change to Marco file version to handle different devices</t>
  </si>
  <si>
    <t>DCNM-DVT</t>
  </si>
  <si>
    <t>DCNM-DSL</t>
  </si>
  <si>
    <t>A maximum of 22 nodes can be daisy-chained in the system this inlcudes all switches</t>
  </si>
  <si>
    <t>Cable length (m) between 2-99</t>
  </si>
  <si>
    <t>DCNM-IDESK</t>
  </si>
  <si>
    <t>DCNM-IDESKVID</t>
  </si>
  <si>
    <t>Added interpreter desk</t>
  </si>
  <si>
    <t>2.04</t>
  </si>
  <si>
    <t>2.05</t>
  </si>
  <si>
    <t>Improved initial state, so it will start with an empty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</si>
</sst>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204"/>
    </font>
    <font>
      <sz val="14"/>
      <color rgb="FF22222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49" fontId="2" fillId="0" borderId="0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2" fillId="0" borderId="5" xfId="0" applyFont="1" applyBorder="1"/>
    <xf numFmtId="0" fontId="0" fillId="0" borderId="0" xfId="0" applyBorder="1"/>
    <xf numFmtId="0" fontId="2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0" xfId="0" applyFont="1" applyFill="1" applyBorder="1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2" fontId="0" fillId="0" borderId="0" xfId="0" applyNumberFormat="1" applyAlignment="1"/>
    <xf numFmtId="0" fontId="2" fillId="0" borderId="0" xfId="0" applyFont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/>
    <xf numFmtId="49" fontId="2" fillId="0" borderId="0" xfId="0" applyNumberFormat="1" applyFont="1" applyFill="1" applyBorder="1" applyAlignment="1">
      <alignment wrapText="1"/>
    </xf>
    <xf numFmtId="0" fontId="1" fillId="0" borderId="5" xfId="0" applyFont="1" applyBorder="1"/>
    <xf numFmtId="0" fontId="2" fillId="0" borderId="6" xfId="0" applyFont="1" applyBorder="1"/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2" fontId="0" fillId="0" borderId="0" xfId="0" applyNumberForma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8" xfId="0" applyFont="1" applyBorder="1" applyAlignment="1" applyProtection="1">
      <alignment horizontal="center" textRotation="90"/>
      <protection hidden="1"/>
    </xf>
    <xf numFmtId="0" fontId="2" fillId="0" borderId="8" xfId="0" applyFont="1" applyBorder="1" applyAlignment="1" applyProtection="1">
      <alignment horizontal="right" textRotation="90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2" fontId="0" fillId="0" borderId="0" xfId="0" applyNumberFormat="1" applyBorder="1" applyAlignment="1" applyProtection="1">
      <protection hidden="1"/>
    </xf>
    <xf numFmtId="0" fontId="5" fillId="0" borderId="9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3" fillId="0" borderId="6" xfId="0" applyFont="1" applyBorder="1" applyAlignment="1" applyProtection="1">
      <alignment vertical="top"/>
      <protection hidden="1"/>
    </xf>
    <xf numFmtId="0" fontId="3" fillId="0" borderId="6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9" xfId="1" applyBorder="1" applyAlignment="1" applyProtection="1">
      <protection hidden="1"/>
    </xf>
    <xf numFmtId="22" fontId="0" fillId="0" borderId="0" xfId="0" applyNumberFormat="1" applyAlignment="1" applyProtection="1">
      <protection hidden="1"/>
    </xf>
    <xf numFmtId="0" fontId="0" fillId="0" borderId="0" xfId="0" applyNumberFormat="1" applyProtection="1">
      <protection hidden="1"/>
    </xf>
    <xf numFmtId="0" fontId="0" fillId="0" borderId="0" xfId="0" quotePrefix="1" applyNumberFormat="1" applyProtection="1">
      <protection hidden="1"/>
    </xf>
    <xf numFmtId="0" fontId="0" fillId="0" borderId="0" xfId="0" applyNumberFormat="1" applyBorder="1" applyAlignment="1" applyProtection="1">
      <protection hidden="1"/>
    </xf>
    <xf numFmtId="0" fontId="8" fillId="0" borderId="0" xfId="0" applyNumberFormat="1" applyFont="1" applyBorder="1" applyAlignment="1" applyProtection="1"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2" fontId="0" fillId="0" borderId="0" xfId="0" applyNumberFormat="1" applyBorder="1" applyProtection="1">
      <protection hidden="1"/>
    </xf>
    <xf numFmtId="3" fontId="9" fillId="0" borderId="0" xfId="0" applyNumberFormat="1" applyFont="1" applyProtection="1">
      <protection hidden="1"/>
    </xf>
    <xf numFmtId="3" fontId="3" fillId="0" borderId="0" xfId="0" applyNumberFormat="1" applyFont="1" applyProtection="1">
      <protection locked="0" hidden="1"/>
    </xf>
    <xf numFmtId="2" fontId="0" fillId="0" borderId="0" xfId="0" quotePrefix="1" applyNumberFormat="1" applyProtection="1">
      <protection hidden="1"/>
    </xf>
    <xf numFmtId="164" fontId="1" fillId="0" borderId="9" xfId="0" applyNumberFormat="1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3">
    <dxf>
      <font>
        <color theme="0"/>
      </font>
    </dxf>
    <dxf>
      <font>
        <color rgb="FFFF0000"/>
      </font>
    </dxf>
    <dxf>
      <font>
        <color theme="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28575</xdr:rowOff>
        </xdr:from>
        <xdr:to>
          <xdr:col>6</xdr:col>
          <xdr:colOff>171450</xdr:colOff>
          <xdr:row>33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161005</xdr:rowOff>
    </xdr:from>
    <xdr:to>
      <xdr:col>6</xdr:col>
      <xdr:colOff>9525</xdr:colOff>
      <xdr:row>15</xdr:row>
      <xdr:rowOff>65755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580105"/>
          <a:ext cx="3714750" cy="200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15</xdr:row>
      <xdr:rowOff>133350</xdr:rowOff>
    </xdr:from>
    <xdr:to>
      <xdr:col>4</xdr:col>
      <xdr:colOff>47625</xdr:colOff>
      <xdr:row>17</xdr:row>
      <xdr:rowOff>104775</xdr:rowOff>
    </xdr:to>
    <xdr:sp macro="[0]!Sheet2.MakeActiveSheet" textlink="">
      <xdr:nvSpPr>
        <xdr:cNvPr id="3" name="Rounded Rectangle 2"/>
        <xdr:cNvSpPr/>
      </xdr:nvSpPr>
      <xdr:spPr>
        <a:xfrm>
          <a:off x="1066800" y="2657475"/>
          <a:ext cx="1485900" cy="295275"/>
        </a:xfrm>
        <a:prstGeom prst="round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Start</a:t>
          </a:r>
        </a:p>
      </xdr:txBody>
    </xdr:sp>
    <xdr:clientData/>
  </xdr:twoCellAnchor>
  <xdr:twoCellAnchor>
    <xdr:from>
      <xdr:col>2</xdr:col>
      <xdr:colOff>38100</xdr:colOff>
      <xdr:row>26</xdr:row>
      <xdr:rowOff>9525</xdr:rowOff>
    </xdr:from>
    <xdr:to>
      <xdr:col>3</xdr:col>
      <xdr:colOff>476250</xdr:colOff>
      <xdr:row>29</xdr:row>
      <xdr:rowOff>0</xdr:rowOff>
    </xdr:to>
    <xdr:sp macro="[0]!_xludf.Hide" textlink="">
      <xdr:nvSpPr>
        <xdr:cNvPr id="11" name="Rounded Rectangle 10" hidden="1"/>
        <xdr:cNvSpPr/>
      </xdr:nvSpPr>
      <xdr:spPr>
        <a:xfrm>
          <a:off x="1323975" y="4314825"/>
          <a:ext cx="1047750" cy="4762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Hide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409576</xdr:colOff>
      <xdr:row>0</xdr:row>
      <xdr:rowOff>19050</xdr:rowOff>
    </xdr:from>
    <xdr:to>
      <xdr:col>2</xdr:col>
      <xdr:colOff>104776</xdr:colOff>
      <xdr:row>0</xdr:row>
      <xdr:rowOff>333375</xdr:rowOff>
    </xdr:to>
    <xdr:sp macro="[0]!Sheet2.ChangeToMeterFeet" textlink="">
      <xdr:nvSpPr>
        <xdr:cNvPr id="4" name="MeterFeet"/>
        <xdr:cNvSpPr/>
      </xdr:nvSpPr>
      <xdr:spPr>
        <a:xfrm>
          <a:off x="409576" y="19050"/>
          <a:ext cx="1238250" cy="314325"/>
        </a:xfrm>
        <a:prstGeom prst="round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Change to Feet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58"/>
  <sheetViews>
    <sheetView zoomScale="89" workbookViewId="0">
      <selection activeCell="C16" sqref="C16"/>
    </sheetView>
  </sheetViews>
  <sheetFormatPr defaultRowHeight="12.75" x14ac:dyDescent="0.2"/>
  <cols>
    <col min="1" max="1" width="17" customWidth="1"/>
    <col min="2" max="2" width="5.42578125" customWidth="1"/>
    <col min="5" max="5" width="7.85546875" customWidth="1"/>
    <col min="6" max="6" width="7" customWidth="1"/>
    <col min="8" max="8" width="5.140625" customWidth="1"/>
    <col min="10" max="10" width="5.5703125" customWidth="1"/>
    <col min="11" max="11" width="8.42578125" customWidth="1"/>
    <col min="12" max="12" width="5.42578125" customWidth="1"/>
    <col min="13" max="13" width="6.42578125" customWidth="1"/>
    <col min="14" max="14" width="11.85546875" bestFit="1" customWidth="1"/>
  </cols>
  <sheetData>
    <row r="1" spans="1:14" ht="13.5" thickBot="1" x14ac:dyDescent="0.25"/>
    <row r="2" spans="1:14" ht="25.5" x14ac:dyDescent="0.2">
      <c r="A2" s="1" t="s">
        <v>0</v>
      </c>
      <c r="B2" s="2">
        <v>48</v>
      </c>
      <c r="C2" s="2" t="s">
        <v>1</v>
      </c>
      <c r="D2" s="2" t="s">
        <v>2</v>
      </c>
      <c r="E2" s="3"/>
      <c r="F2" s="5"/>
      <c r="G2" s="5"/>
      <c r="H2" s="5"/>
      <c r="I2" s="5" t="s">
        <v>0</v>
      </c>
      <c r="J2" s="5" t="s">
        <v>3</v>
      </c>
      <c r="K2" s="6" t="s">
        <v>150</v>
      </c>
      <c r="N2" s="26"/>
    </row>
    <row r="3" spans="1:14" x14ac:dyDescent="0.2">
      <c r="A3" s="7" t="s">
        <v>3</v>
      </c>
      <c r="B3" s="8">
        <v>3</v>
      </c>
      <c r="C3" s="8" t="s">
        <v>4</v>
      </c>
      <c r="D3" s="8" t="s">
        <v>5</v>
      </c>
      <c r="E3" s="9"/>
      <c r="F3" s="10"/>
      <c r="H3" s="10"/>
      <c r="I3" s="10"/>
      <c r="J3" s="10"/>
      <c r="K3" s="9" t="s">
        <v>6</v>
      </c>
    </row>
    <row r="4" spans="1:14" x14ac:dyDescent="0.2">
      <c r="A4" s="7" t="s">
        <v>7</v>
      </c>
      <c r="B4" s="8">
        <f>B2*B3</f>
        <v>144</v>
      </c>
      <c r="C4" s="8" t="s">
        <v>6</v>
      </c>
      <c r="D4" s="8" t="s">
        <v>8</v>
      </c>
      <c r="E4" s="9"/>
      <c r="F4" s="10"/>
      <c r="H4" s="10"/>
      <c r="I4" s="10">
        <v>48</v>
      </c>
      <c r="J4" s="10">
        <v>3</v>
      </c>
      <c r="K4" s="12">
        <f>I4*J4</f>
        <v>144</v>
      </c>
    </row>
    <row r="5" spans="1:14" x14ac:dyDescent="0.2">
      <c r="A5" s="7" t="s">
        <v>10</v>
      </c>
      <c r="B5" s="8">
        <v>2</v>
      </c>
      <c r="C5" s="8" t="s">
        <v>11</v>
      </c>
      <c r="D5" s="8" t="s">
        <v>12</v>
      </c>
      <c r="E5" s="9"/>
      <c r="F5" s="10"/>
      <c r="H5" s="10"/>
      <c r="I5" s="10"/>
      <c r="J5" s="10"/>
      <c r="K5" s="12"/>
    </row>
    <row r="6" spans="1:14" x14ac:dyDescent="0.2">
      <c r="A6" s="7" t="s">
        <v>13</v>
      </c>
      <c r="B6" s="8">
        <v>10</v>
      </c>
      <c r="C6" s="8" t="s">
        <v>14</v>
      </c>
      <c r="D6" s="8" t="s">
        <v>15</v>
      </c>
      <c r="E6" s="9"/>
      <c r="F6" s="10"/>
      <c r="H6" s="10"/>
      <c r="I6" s="10"/>
      <c r="J6" s="10"/>
      <c r="K6" s="12"/>
    </row>
    <row r="7" spans="1:14" x14ac:dyDescent="0.2">
      <c r="A7" s="7" t="s">
        <v>16</v>
      </c>
      <c r="B7" s="8">
        <v>23</v>
      </c>
      <c r="C7" s="8" t="s">
        <v>17</v>
      </c>
      <c r="D7" s="8" t="s">
        <v>18</v>
      </c>
      <c r="E7" s="27"/>
      <c r="F7" s="10"/>
      <c r="G7" s="10"/>
      <c r="H7" s="10"/>
      <c r="I7" s="10"/>
      <c r="J7" s="10"/>
      <c r="K7" s="12"/>
    </row>
    <row r="8" spans="1:14" x14ac:dyDescent="0.2">
      <c r="A8" s="7"/>
      <c r="B8" s="8"/>
      <c r="C8" s="8"/>
      <c r="D8" s="8"/>
      <c r="E8" s="8"/>
      <c r="F8" s="10"/>
      <c r="G8" s="10"/>
      <c r="H8" s="10"/>
      <c r="I8" s="10"/>
      <c r="J8" s="10"/>
      <c r="K8" s="12"/>
    </row>
    <row r="9" spans="1:14" x14ac:dyDescent="0.2">
      <c r="A9" s="7" t="s">
        <v>151</v>
      </c>
      <c r="B9" s="8">
        <v>11.3</v>
      </c>
      <c r="C9" s="8" t="s">
        <v>6</v>
      </c>
      <c r="D9" s="8" t="s">
        <v>9</v>
      </c>
      <c r="E9" s="11"/>
      <c r="F9" s="10"/>
      <c r="G9" s="10"/>
      <c r="H9" s="10"/>
      <c r="I9" s="10"/>
      <c r="J9" s="10"/>
      <c r="K9" s="12"/>
    </row>
    <row r="10" spans="1:14" x14ac:dyDescent="0.2">
      <c r="A10" s="8" t="s">
        <v>175</v>
      </c>
      <c r="B10" s="8">
        <v>12</v>
      </c>
      <c r="C10" s="8" t="s">
        <v>6</v>
      </c>
      <c r="D10" s="8"/>
      <c r="E10" s="11"/>
      <c r="F10" s="10"/>
      <c r="G10" s="10"/>
      <c r="H10" s="10"/>
      <c r="I10" s="10"/>
      <c r="J10" s="10"/>
      <c r="K10" s="12"/>
    </row>
    <row r="11" spans="1:14" x14ac:dyDescent="0.2">
      <c r="A11" s="8" t="s">
        <v>177</v>
      </c>
      <c r="B11" s="8">
        <v>5</v>
      </c>
      <c r="C11" s="8" t="s">
        <v>6</v>
      </c>
      <c r="D11" s="8"/>
      <c r="E11" s="11"/>
      <c r="F11" s="10"/>
      <c r="G11" s="10"/>
      <c r="H11" s="10"/>
      <c r="I11" s="10"/>
      <c r="J11" s="10"/>
      <c r="K11" s="12"/>
    </row>
    <row r="12" spans="1:14" x14ac:dyDescent="0.2">
      <c r="A12" s="8" t="s">
        <v>184</v>
      </c>
      <c r="B12" s="8">
        <v>3.6</v>
      </c>
      <c r="C12" s="8" t="s">
        <v>6</v>
      </c>
      <c r="D12" s="8"/>
      <c r="E12" s="11"/>
      <c r="F12" s="10"/>
      <c r="G12" s="10"/>
      <c r="H12" s="10"/>
      <c r="I12" s="10"/>
      <c r="J12" s="10"/>
      <c r="K12" s="12"/>
    </row>
    <row r="13" spans="1:14" x14ac:dyDescent="0.2">
      <c r="A13" s="8" t="s">
        <v>183</v>
      </c>
      <c r="B13" s="8">
        <v>3.7</v>
      </c>
      <c r="C13" s="8" t="s">
        <v>6</v>
      </c>
      <c r="D13" s="8"/>
      <c r="E13" s="11"/>
      <c r="F13" s="10"/>
      <c r="G13" s="10"/>
      <c r="H13" s="10"/>
      <c r="I13" s="10"/>
      <c r="J13" s="10"/>
      <c r="K13" s="12"/>
    </row>
    <row r="14" spans="1:14" x14ac:dyDescent="0.2">
      <c r="A14" s="8" t="s">
        <v>176</v>
      </c>
      <c r="B14" s="8">
        <v>3.1</v>
      </c>
      <c r="C14" s="8" t="s">
        <v>6</v>
      </c>
      <c r="D14" s="8"/>
      <c r="E14" s="11"/>
      <c r="F14" s="10"/>
      <c r="G14" s="10"/>
      <c r="H14" s="10"/>
      <c r="I14" s="10"/>
      <c r="J14" s="10"/>
      <c r="K14" s="12"/>
    </row>
    <row r="15" spans="1:14" x14ac:dyDescent="0.2">
      <c r="A15" s="8" t="s">
        <v>187</v>
      </c>
      <c r="B15" s="8">
        <v>15</v>
      </c>
      <c r="C15" s="8" t="s">
        <v>6</v>
      </c>
      <c r="D15" s="8"/>
      <c r="E15" s="11"/>
      <c r="F15" s="10"/>
      <c r="G15" s="10"/>
      <c r="H15" s="10"/>
      <c r="I15" s="10"/>
      <c r="J15" s="10"/>
      <c r="K15" s="12"/>
    </row>
    <row r="16" spans="1:14" x14ac:dyDescent="0.2">
      <c r="A16" s="8" t="s">
        <v>188</v>
      </c>
      <c r="B16" s="8">
        <v>18</v>
      </c>
      <c r="C16" s="8" t="s">
        <v>6</v>
      </c>
      <c r="D16" s="8"/>
      <c r="E16" s="11"/>
      <c r="F16" s="10"/>
      <c r="G16" s="10"/>
      <c r="H16" s="10"/>
      <c r="I16" s="10"/>
      <c r="J16" s="10"/>
      <c r="K16" s="12"/>
    </row>
    <row r="17" spans="1:13" ht="13.5" thickBot="1" x14ac:dyDescent="0.25">
      <c r="A17" s="14"/>
      <c r="B17" s="14"/>
      <c r="C17" s="14"/>
      <c r="D17" s="14"/>
      <c r="E17" s="28"/>
      <c r="F17" s="15"/>
      <c r="G17" s="15"/>
      <c r="H17" s="15"/>
      <c r="I17" s="15"/>
      <c r="J17" s="15"/>
      <c r="K17" s="16"/>
    </row>
    <row r="18" spans="1:13" x14ac:dyDescent="0.2">
      <c r="A18" s="11"/>
      <c r="B18" s="11"/>
      <c r="C18" s="11"/>
      <c r="D18" s="11"/>
      <c r="E18" s="11"/>
      <c r="F18" s="11"/>
      <c r="H18" s="10"/>
      <c r="I18" s="10"/>
      <c r="J18" s="13"/>
      <c r="K18" s="10"/>
      <c r="L18" s="10"/>
    </row>
    <row r="19" spans="1:13" x14ac:dyDescent="0.2">
      <c r="B19" s="11"/>
      <c r="C19" s="11"/>
      <c r="D19" s="11"/>
      <c r="E19" s="11"/>
      <c r="F19" s="11"/>
      <c r="H19" s="10"/>
      <c r="I19" s="10"/>
      <c r="J19" s="13"/>
      <c r="K19" s="10"/>
      <c r="L19" s="10"/>
    </row>
    <row r="20" spans="1:13" x14ac:dyDescent="0.2">
      <c r="A20" s="17"/>
      <c r="B20" s="11"/>
      <c r="D20" s="11"/>
      <c r="E20" s="11"/>
      <c r="F20" s="11"/>
      <c r="H20" s="10"/>
      <c r="I20" s="10"/>
      <c r="J20" s="13"/>
      <c r="K20" s="10"/>
      <c r="L20" s="10"/>
    </row>
    <row r="21" spans="1:13" x14ac:dyDescent="0.2">
      <c r="B21" s="11"/>
      <c r="C21" s="11"/>
      <c r="D21" s="11"/>
      <c r="E21" s="11"/>
      <c r="F21" s="11"/>
      <c r="H21" s="63"/>
      <c r="I21" s="63"/>
      <c r="J21" s="4"/>
    </row>
    <row r="22" spans="1:13" x14ac:dyDescent="0.2">
      <c r="B22" s="11"/>
      <c r="C22" s="11"/>
      <c r="D22" s="11"/>
      <c r="E22" s="11"/>
      <c r="F22" s="11"/>
      <c r="H22" s="10"/>
      <c r="I22" s="11"/>
      <c r="J22" s="23"/>
    </row>
    <row r="23" spans="1:13" x14ac:dyDescent="0.2">
      <c r="B23" s="11"/>
      <c r="C23" s="11"/>
      <c r="D23" s="11"/>
      <c r="E23" s="11"/>
      <c r="F23" s="11"/>
      <c r="H23" s="10"/>
      <c r="I23" s="11"/>
      <c r="J23" s="23"/>
    </row>
    <row r="24" spans="1:13" x14ac:dyDescent="0.2">
      <c r="B24" s="11"/>
      <c r="C24" s="11"/>
      <c r="D24" s="11"/>
      <c r="E24" s="11"/>
      <c r="F24" s="11"/>
      <c r="H24" s="10"/>
      <c r="I24" s="10"/>
      <c r="J24" s="23"/>
    </row>
    <row r="25" spans="1:13" x14ac:dyDescent="0.2">
      <c r="B25" s="11"/>
      <c r="C25" s="11"/>
      <c r="D25" s="11"/>
      <c r="E25" s="11"/>
      <c r="F25" s="11"/>
      <c r="H25" s="10"/>
      <c r="I25" s="10"/>
      <c r="J25" s="13"/>
    </row>
    <row r="26" spans="1:13" x14ac:dyDescent="0.2">
      <c r="B26" s="11"/>
      <c r="C26" s="11"/>
      <c r="D26" s="11"/>
      <c r="E26" s="11"/>
      <c r="F26" s="11"/>
      <c r="H26" s="10"/>
      <c r="I26" s="10"/>
      <c r="J26" s="13"/>
    </row>
    <row r="27" spans="1:13" x14ac:dyDescent="0.2">
      <c r="B27" s="11"/>
      <c r="C27" s="11"/>
      <c r="D27" s="11"/>
      <c r="E27" s="11"/>
      <c r="F27" s="11"/>
      <c r="H27" s="10"/>
      <c r="I27" s="10"/>
      <c r="J27" s="13"/>
    </row>
    <row r="28" spans="1:13" x14ac:dyDescent="0.2">
      <c r="B28" s="11"/>
      <c r="C28" s="11"/>
      <c r="D28" s="11"/>
      <c r="E28" s="11"/>
      <c r="F28" s="11"/>
      <c r="H28" s="10"/>
      <c r="I28" s="10"/>
      <c r="J28" s="10"/>
      <c r="K28" s="10"/>
      <c r="L28" s="13"/>
      <c r="M28" s="10"/>
    </row>
    <row r="29" spans="1:13" x14ac:dyDescent="0.2">
      <c r="B29" s="11"/>
      <c r="C29" s="11"/>
      <c r="D29" s="11"/>
      <c r="E29" s="11"/>
      <c r="F29" s="11"/>
      <c r="H29" s="10"/>
      <c r="I29" s="10"/>
      <c r="J29" s="10"/>
      <c r="K29" s="10"/>
      <c r="L29" s="10"/>
    </row>
    <row r="30" spans="1:13" x14ac:dyDescent="0.2">
      <c r="B30" s="11"/>
      <c r="C30" s="11"/>
      <c r="D30" s="11"/>
      <c r="E30" s="11"/>
    </row>
    <row r="31" spans="1:13" x14ac:dyDescent="0.2">
      <c r="B31" s="11"/>
      <c r="C31" s="11"/>
      <c r="D31" s="11"/>
      <c r="E31" s="11"/>
      <c r="H31" s="18" t="s">
        <v>185</v>
      </c>
    </row>
    <row r="32" spans="1:13" x14ac:dyDescent="0.2">
      <c r="B32" s="11"/>
      <c r="C32" s="11"/>
      <c r="D32" s="11"/>
      <c r="E32" s="11"/>
    </row>
    <row r="33" spans="1:21" x14ac:dyDescent="0.2">
      <c r="B33" s="11"/>
      <c r="C33" s="11"/>
      <c r="D33" s="11"/>
      <c r="E33" s="11"/>
    </row>
    <row r="34" spans="1:21" x14ac:dyDescent="0.2">
      <c r="B34" s="11"/>
      <c r="C34" s="11"/>
      <c r="D34" s="11"/>
      <c r="E34" s="11"/>
    </row>
    <row r="35" spans="1:21" x14ac:dyDescent="0.2">
      <c r="B35" s="11"/>
      <c r="C35" s="11"/>
      <c r="D35" s="11"/>
      <c r="E35" s="11"/>
    </row>
    <row r="36" spans="1:21" ht="13.5" thickBot="1" x14ac:dyDescent="0.25">
      <c r="A36" s="19" t="s">
        <v>19</v>
      </c>
      <c r="B36" s="20" t="s">
        <v>20</v>
      </c>
      <c r="C36" s="21" t="s">
        <v>21</v>
      </c>
      <c r="D36" s="20" t="s">
        <v>22</v>
      </c>
      <c r="E36" s="21" t="s">
        <v>23</v>
      </c>
      <c r="F36" s="20"/>
      <c r="G36" s="21" t="s">
        <v>1</v>
      </c>
      <c r="H36" s="20"/>
      <c r="I36" s="19" t="s">
        <v>6</v>
      </c>
      <c r="J36" s="20"/>
      <c r="K36" s="21" t="s">
        <v>24</v>
      </c>
      <c r="L36" s="20"/>
      <c r="M36" s="21" t="s">
        <v>25</v>
      </c>
      <c r="N36" s="20"/>
      <c r="O36" s="20"/>
      <c r="P36" s="20"/>
      <c r="Q36" s="20"/>
      <c r="R36" s="20"/>
      <c r="S36" s="20"/>
      <c r="T36" s="20"/>
      <c r="U36" s="20"/>
    </row>
    <row r="37" spans="1:21" x14ac:dyDescent="0.2">
      <c r="A37" s="24"/>
      <c r="B37" s="22" t="s">
        <v>26</v>
      </c>
      <c r="C37" s="22">
        <v>80</v>
      </c>
      <c r="D37" s="22" t="s">
        <v>27</v>
      </c>
      <c r="E37" s="22">
        <f t="shared" ref="E37:E57" si="0">2*($B$7/1000)*C37+ 4*$B$6/1000</f>
        <v>3.7199999999999998</v>
      </c>
      <c r="F37" s="22" t="s">
        <v>0</v>
      </c>
      <c r="G37" s="22">
        <f>B2-(B3*E37)</f>
        <v>36.840000000000003</v>
      </c>
      <c r="H37" s="22" t="s">
        <v>28</v>
      </c>
      <c r="I37" s="22">
        <f>M37^2*E37</f>
        <v>33.479999999999997</v>
      </c>
      <c r="J37" s="22"/>
      <c r="K37" s="22"/>
      <c r="L37" s="22" t="s">
        <v>29</v>
      </c>
      <c r="M37" s="22">
        <f>$B$3</f>
        <v>3</v>
      </c>
      <c r="N37" s="8"/>
      <c r="O37" s="8"/>
      <c r="P37" s="8"/>
      <c r="Q37" s="8"/>
      <c r="R37" s="8"/>
      <c r="S37" s="8"/>
      <c r="T37" s="8"/>
      <c r="U37" s="8"/>
    </row>
    <row r="38" spans="1:21" x14ac:dyDescent="0.2">
      <c r="A38" s="24">
        <v>1</v>
      </c>
      <c r="B38" s="22" t="s">
        <v>30</v>
      </c>
      <c r="C38" s="22">
        <f t="shared" ref="C38:C57" si="1">$B$5</f>
        <v>2</v>
      </c>
      <c r="D38" s="22" t="s">
        <v>31</v>
      </c>
      <c r="E38" s="22">
        <f t="shared" si="0"/>
        <v>0.13200000000000001</v>
      </c>
      <c r="F38" s="22" t="s">
        <v>32</v>
      </c>
      <c r="G38" s="22">
        <f t="shared" ref="G38:G57" si="2">G37-(M37*E38)</f>
        <v>36.444000000000003</v>
      </c>
      <c r="H38" s="22" t="s">
        <v>33</v>
      </c>
      <c r="I38" s="22">
        <f t="shared" ref="I38:I57" si="3">$B$9</f>
        <v>11.3</v>
      </c>
      <c r="J38" s="22" t="s">
        <v>34</v>
      </c>
      <c r="K38" s="22">
        <f t="shared" ref="K38:K57" si="4">(I38/G38)*1000</f>
        <v>310.06475688727915</v>
      </c>
      <c r="L38" s="22" t="s">
        <v>35</v>
      </c>
      <c r="M38" s="22">
        <f>$B$3</f>
        <v>3</v>
      </c>
    </row>
    <row r="39" spans="1:21" x14ac:dyDescent="0.2">
      <c r="A39" s="24">
        <v>2</v>
      </c>
      <c r="B39" s="22" t="s">
        <v>36</v>
      </c>
      <c r="C39" s="22">
        <f t="shared" si="1"/>
        <v>2</v>
      </c>
      <c r="D39" s="22" t="s">
        <v>37</v>
      </c>
      <c r="E39" s="22">
        <f t="shared" si="0"/>
        <v>0.13200000000000001</v>
      </c>
      <c r="F39" s="22" t="s">
        <v>38</v>
      </c>
      <c r="G39" s="22">
        <f t="shared" si="2"/>
        <v>36.048000000000002</v>
      </c>
      <c r="H39" s="22" t="s">
        <v>39</v>
      </c>
      <c r="I39" s="22">
        <f t="shared" si="3"/>
        <v>11.3</v>
      </c>
      <c r="J39" s="22" t="s">
        <v>40</v>
      </c>
      <c r="K39" s="22">
        <f t="shared" si="4"/>
        <v>313.47092765201955</v>
      </c>
      <c r="L39" s="22" t="s">
        <v>41</v>
      </c>
      <c r="M39" s="22">
        <f t="shared" ref="M39:M57" si="5">M38-K38/1000</f>
        <v>2.6899352431127208</v>
      </c>
    </row>
    <row r="40" spans="1:21" x14ac:dyDescent="0.2">
      <c r="A40" s="24">
        <v>3</v>
      </c>
      <c r="B40" s="22" t="s">
        <v>42</v>
      </c>
      <c r="C40" s="22">
        <f t="shared" si="1"/>
        <v>2</v>
      </c>
      <c r="D40" s="22" t="s">
        <v>43</v>
      </c>
      <c r="E40" s="22">
        <f t="shared" si="0"/>
        <v>0.13200000000000001</v>
      </c>
      <c r="F40" s="22" t="s">
        <v>44</v>
      </c>
      <c r="G40" s="22">
        <f>G39-(M39*E40)</f>
        <v>35.692928547909119</v>
      </c>
      <c r="H40" s="22" t="s">
        <v>45</v>
      </c>
      <c r="I40" s="22">
        <f t="shared" si="3"/>
        <v>11.3</v>
      </c>
      <c r="J40" s="22" t="s">
        <v>46</v>
      </c>
      <c r="K40" s="22">
        <f t="shared" si="4"/>
        <v>316.58932062222033</v>
      </c>
      <c r="L40" s="22" t="s">
        <v>47</v>
      </c>
      <c r="M40" s="22">
        <f t="shared" si="5"/>
        <v>2.3764643154607015</v>
      </c>
    </row>
    <row r="41" spans="1:21" x14ac:dyDescent="0.2">
      <c r="A41" s="24">
        <v>4</v>
      </c>
      <c r="B41" s="22" t="s">
        <v>48</v>
      </c>
      <c r="C41" s="22">
        <f t="shared" si="1"/>
        <v>2</v>
      </c>
      <c r="D41" s="22" t="s">
        <v>49</v>
      </c>
      <c r="E41" s="22">
        <f t="shared" si="0"/>
        <v>0.13200000000000001</v>
      </c>
      <c r="F41" s="22" t="s">
        <v>50</v>
      </c>
      <c r="G41" s="22">
        <f t="shared" si="2"/>
        <v>35.379235258268309</v>
      </c>
      <c r="H41" s="22" t="s">
        <v>51</v>
      </c>
      <c r="I41" s="22">
        <f t="shared" si="3"/>
        <v>11.3</v>
      </c>
      <c r="J41" s="22" t="s">
        <v>52</v>
      </c>
      <c r="K41" s="22">
        <f t="shared" si="4"/>
        <v>319.39638936540132</v>
      </c>
      <c r="L41" s="22" t="s">
        <v>53</v>
      </c>
      <c r="M41" s="22">
        <f t="shared" si="5"/>
        <v>2.0598749948384811</v>
      </c>
    </row>
    <row r="42" spans="1:21" x14ac:dyDescent="0.2">
      <c r="A42" s="24">
        <v>5</v>
      </c>
      <c r="B42" s="22" t="s">
        <v>54</v>
      </c>
      <c r="C42" s="22">
        <f t="shared" si="1"/>
        <v>2</v>
      </c>
      <c r="D42" s="22" t="s">
        <v>55</v>
      </c>
      <c r="E42" s="22">
        <f t="shared" si="0"/>
        <v>0.13200000000000001</v>
      </c>
      <c r="F42" s="22" t="s">
        <v>56</v>
      </c>
      <c r="G42" s="22">
        <f t="shared" si="2"/>
        <v>35.107331758949627</v>
      </c>
      <c r="H42" s="22" t="s">
        <v>57</v>
      </c>
      <c r="I42" s="22">
        <f t="shared" si="3"/>
        <v>11.3</v>
      </c>
      <c r="J42" s="22" t="s">
        <v>58</v>
      </c>
      <c r="K42" s="22">
        <f t="shared" si="4"/>
        <v>321.87008906250423</v>
      </c>
      <c r="L42" s="22" t="s">
        <v>59</v>
      </c>
      <c r="M42" s="22">
        <f t="shared" si="5"/>
        <v>1.7404786054730799</v>
      </c>
    </row>
    <row r="43" spans="1:21" x14ac:dyDescent="0.2">
      <c r="A43" s="24">
        <v>6</v>
      </c>
      <c r="B43" s="22" t="s">
        <v>60</v>
      </c>
      <c r="C43" s="22">
        <f t="shared" si="1"/>
        <v>2</v>
      </c>
      <c r="D43" s="22" t="s">
        <v>61</v>
      </c>
      <c r="E43" s="22">
        <f t="shared" si="0"/>
        <v>0.13200000000000001</v>
      </c>
      <c r="F43" s="22" t="s">
        <v>62</v>
      </c>
      <c r="G43" s="22">
        <f t="shared" si="2"/>
        <v>34.877588583027183</v>
      </c>
      <c r="H43" s="22" t="s">
        <v>63</v>
      </c>
      <c r="I43" s="22">
        <f t="shared" si="3"/>
        <v>11.3</v>
      </c>
      <c r="J43" s="22" t="s">
        <v>64</v>
      </c>
      <c r="K43" s="22">
        <f t="shared" si="4"/>
        <v>323.99028886701842</v>
      </c>
      <c r="L43" s="22" t="s">
        <v>65</v>
      </c>
      <c r="M43" s="22">
        <f t="shared" si="5"/>
        <v>1.4186085164105755</v>
      </c>
    </row>
    <row r="44" spans="1:21" x14ac:dyDescent="0.2">
      <c r="A44" s="24">
        <v>7</v>
      </c>
      <c r="B44" s="22" t="s">
        <v>66</v>
      </c>
      <c r="C44" s="22">
        <f t="shared" si="1"/>
        <v>2</v>
      </c>
      <c r="D44" s="22" t="s">
        <v>67</v>
      </c>
      <c r="E44" s="22">
        <f t="shared" si="0"/>
        <v>0.13200000000000001</v>
      </c>
      <c r="F44" s="22" t="s">
        <v>68</v>
      </c>
      <c r="G44" s="22">
        <f t="shared" si="2"/>
        <v>34.690332258860984</v>
      </c>
      <c r="H44" s="22" t="s">
        <v>69</v>
      </c>
      <c r="I44" s="22">
        <f t="shared" si="3"/>
        <v>11.3</v>
      </c>
      <c r="J44" s="22" t="s">
        <v>70</v>
      </c>
      <c r="K44" s="22">
        <f t="shared" si="4"/>
        <v>325.73916893268239</v>
      </c>
      <c r="L44" s="22" t="s">
        <v>71</v>
      </c>
      <c r="M44" s="22">
        <f t="shared" si="5"/>
        <v>1.094618227543557</v>
      </c>
    </row>
    <row r="45" spans="1:21" x14ac:dyDescent="0.2">
      <c r="A45" s="24">
        <v>8</v>
      </c>
      <c r="B45" s="22" t="s">
        <v>72</v>
      </c>
      <c r="C45" s="22">
        <f t="shared" si="1"/>
        <v>2</v>
      </c>
      <c r="D45" s="22" t="s">
        <v>73</v>
      </c>
      <c r="E45" s="22">
        <f t="shared" si="0"/>
        <v>0.13200000000000001</v>
      </c>
      <c r="F45" s="22" t="s">
        <v>74</v>
      </c>
      <c r="G45" s="22">
        <f t="shared" si="2"/>
        <v>34.545842652825236</v>
      </c>
      <c r="H45" s="22" t="s">
        <v>75</v>
      </c>
      <c r="I45" s="22">
        <f t="shared" si="3"/>
        <v>11.3</v>
      </c>
      <c r="J45" s="22" t="s">
        <v>76</v>
      </c>
      <c r="K45" s="22">
        <f t="shared" si="4"/>
        <v>327.10158827391814</v>
      </c>
      <c r="L45" s="22" t="s">
        <v>77</v>
      </c>
      <c r="M45" s="22">
        <f t="shared" si="5"/>
        <v>0.76887905861087458</v>
      </c>
    </row>
    <row r="46" spans="1:21" x14ac:dyDescent="0.2">
      <c r="A46" s="24">
        <v>9</v>
      </c>
      <c r="B46" s="22" t="s">
        <v>78</v>
      </c>
      <c r="C46" s="22">
        <f t="shared" si="1"/>
        <v>2</v>
      </c>
      <c r="D46" s="22" t="s">
        <v>79</v>
      </c>
      <c r="E46" s="22">
        <f t="shared" si="0"/>
        <v>0.13200000000000001</v>
      </c>
      <c r="F46" s="22" t="s">
        <v>80</v>
      </c>
      <c r="G46" s="22">
        <f t="shared" si="2"/>
        <v>34.444350617088602</v>
      </c>
      <c r="H46" s="22" t="s">
        <v>81</v>
      </c>
      <c r="I46" s="22">
        <f t="shared" si="3"/>
        <v>11.3</v>
      </c>
      <c r="J46" s="22" t="s">
        <v>82</v>
      </c>
      <c r="K46" s="22">
        <f t="shared" si="4"/>
        <v>328.0654097857726</v>
      </c>
      <c r="L46" s="22" t="s">
        <v>83</v>
      </c>
      <c r="M46" s="22">
        <f t="shared" si="5"/>
        <v>0.44177747033695641</v>
      </c>
    </row>
    <row r="47" spans="1:21" x14ac:dyDescent="0.2">
      <c r="A47" s="24">
        <v>10</v>
      </c>
      <c r="B47" s="22" t="s">
        <v>84</v>
      </c>
      <c r="C47" s="22">
        <f t="shared" si="1"/>
        <v>2</v>
      </c>
      <c r="D47" s="22" t="s">
        <v>85</v>
      </c>
      <c r="E47" s="22">
        <f t="shared" si="0"/>
        <v>0.13200000000000001</v>
      </c>
      <c r="F47" s="22" t="s">
        <v>86</v>
      </c>
      <c r="G47" s="22">
        <f t="shared" si="2"/>
        <v>34.386035991004121</v>
      </c>
      <c r="H47" s="22" t="s">
        <v>87</v>
      </c>
      <c r="I47" s="22">
        <f t="shared" si="3"/>
        <v>11.3</v>
      </c>
      <c r="J47" s="22" t="s">
        <v>88</v>
      </c>
      <c r="K47" s="22">
        <f t="shared" si="4"/>
        <v>328.6217696903546</v>
      </c>
      <c r="L47" s="22" t="s">
        <v>89</v>
      </c>
      <c r="M47" s="22">
        <f t="shared" si="5"/>
        <v>0.11371206055118382</v>
      </c>
    </row>
    <row r="48" spans="1:21" x14ac:dyDescent="0.2">
      <c r="A48" s="24">
        <v>11</v>
      </c>
      <c r="B48" s="22" t="s">
        <v>90</v>
      </c>
      <c r="C48" s="22">
        <f t="shared" si="1"/>
        <v>2</v>
      </c>
      <c r="D48" s="22" t="s">
        <v>91</v>
      </c>
      <c r="E48" s="22">
        <f t="shared" si="0"/>
        <v>0.13200000000000001</v>
      </c>
      <c r="F48" s="22" t="s">
        <v>92</v>
      </c>
      <c r="G48" s="22">
        <f t="shared" si="2"/>
        <v>34.371025999011366</v>
      </c>
      <c r="H48" s="22" t="s">
        <v>93</v>
      </c>
      <c r="I48" s="22">
        <f t="shared" si="3"/>
        <v>11.3</v>
      </c>
      <c r="J48" s="22" t="s">
        <v>94</v>
      </c>
      <c r="K48" s="22">
        <f t="shared" si="4"/>
        <v>328.76528039416189</v>
      </c>
      <c r="L48" s="22" t="s">
        <v>95</v>
      </c>
      <c r="M48" s="22">
        <f t="shared" si="5"/>
        <v>-0.21490970913917079</v>
      </c>
    </row>
    <row r="49" spans="1:13" x14ac:dyDescent="0.2">
      <c r="A49" s="24">
        <v>12</v>
      </c>
      <c r="B49" s="22" t="s">
        <v>96</v>
      </c>
      <c r="C49" s="22">
        <f t="shared" si="1"/>
        <v>2</v>
      </c>
      <c r="D49" s="22" t="s">
        <v>97</v>
      </c>
      <c r="E49" s="22">
        <f t="shared" si="0"/>
        <v>0.13200000000000001</v>
      </c>
      <c r="F49" s="22" t="s">
        <v>98</v>
      </c>
      <c r="G49" s="22">
        <f t="shared" si="2"/>
        <v>34.399394080617739</v>
      </c>
      <c r="H49" s="22" t="s">
        <v>99</v>
      </c>
      <c r="I49" s="22">
        <f t="shared" si="3"/>
        <v>11.3</v>
      </c>
      <c r="J49" s="22" t="s">
        <v>100</v>
      </c>
      <c r="K49" s="22">
        <f t="shared" si="4"/>
        <v>328.49415816794755</v>
      </c>
      <c r="L49" s="22" t="s">
        <v>101</v>
      </c>
      <c r="M49" s="22">
        <f t="shared" si="5"/>
        <v>-0.54367498953333271</v>
      </c>
    </row>
    <row r="50" spans="1:13" x14ac:dyDescent="0.2">
      <c r="A50" s="24">
        <v>13</v>
      </c>
      <c r="B50" s="22" t="s">
        <v>102</v>
      </c>
      <c r="C50" s="22">
        <f t="shared" si="1"/>
        <v>2</v>
      </c>
      <c r="D50" s="22" t="s">
        <v>103</v>
      </c>
      <c r="E50" s="22">
        <f t="shared" si="0"/>
        <v>0.13200000000000001</v>
      </c>
      <c r="F50" s="22" t="s">
        <v>104</v>
      </c>
      <c r="G50" s="22">
        <f t="shared" si="2"/>
        <v>34.471159179236139</v>
      </c>
      <c r="H50" s="22" t="s">
        <v>105</v>
      </c>
      <c r="I50" s="22">
        <f t="shared" si="3"/>
        <v>11.3</v>
      </c>
      <c r="J50" s="22" t="s">
        <v>106</v>
      </c>
      <c r="K50" s="22">
        <f t="shared" si="4"/>
        <v>327.81027006502893</v>
      </c>
      <c r="L50" s="22" t="s">
        <v>107</v>
      </c>
      <c r="M50" s="22">
        <f t="shared" si="5"/>
        <v>-0.87216914770128029</v>
      </c>
    </row>
    <row r="51" spans="1:13" x14ac:dyDescent="0.2">
      <c r="A51" s="24">
        <v>14</v>
      </c>
      <c r="B51" s="22" t="s">
        <v>108</v>
      </c>
      <c r="C51" s="22">
        <f t="shared" si="1"/>
        <v>2</v>
      </c>
      <c r="D51" s="22" t="s">
        <v>109</v>
      </c>
      <c r="E51" s="22">
        <f t="shared" si="0"/>
        <v>0.13200000000000001</v>
      </c>
      <c r="F51" s="22" t="s">
        <v>110</v>
      </c>
      <c r="G51" s="22">
        <f t="shared" si="2"/>
        <v>34.586285506732708</v>
      </c>
      <c r="H51" s="22" t="s">
        <v>111</v>
      </c>
      <c r="I51" s="22">
        <f t="shared" si="3"/>
        <v>11.3</v>
      </c>
      <c r="J51" s="22" t="s">
        <v>112</v>
      </c>
      <c r="K51" s="22">
        <f t="shared" si="4"/>
        <v>326.71909788636589</v>
      </c>
      <c r="L51" s="22" t="s">
        <v>113</v>
      </c>
      <c r="M51" s="22">
        <f t="shared" si="5"/>
        <v>-1.1999794177663092</v>
      </c>
    </row>
    <row r="52" spans="1:13" x14ac:dyDescent="0.2">
      <c r="A52" s="24">
        <v>15</v>
      </c>
      <c r="B52" s="22" t="s">
        <v>114</v>
      </c>
      <c r="C52" s="22">
        <f t="shared" si="1"/>
        <v>2</v>
      </c>
      <c r="D52" s="22" t="s">
        <v>115</v>
      </c>
      <c r="E52" s="22">
        <f t="shared" si="0"/>
        <v>0.13200000000000001</v>
      </c>
      <c r="F52" s="22" t="s">
        <v>116</v>
      </c>
      <c r="G52" s="22">
        <f t="shared" si="2"/>
        <v>34.744682789877864</v>
      </c>
      <c r="H52" s="22" t="s">
        <v>117</v>
      </c>
      <c r="I52" s="22">
        <f t="shared" si="3"/>
        <v>11.3</v>
      </c>
      <c r="J52" s="22" t="s">
        <v>118</v>
      </c>
      <c r="K52" s="22">
        <f t="shared" si="4"/>
        <v>325.22962055339354</v>
      </c>
      <c r="L52" s="22" t="s">
        <v>119</v>
      </c>
      <c r="M52" s="22">
        <f t="shared" si="5"/>
        <v>-1.5266985156526751</v>
      </c>
    </row>
    <row r="53" spans="1:13" x14ac:dyDescent="0.2">
      <c r="A53" s="24">
        <v>16</v>
      </c>
      <c r="B53" s="22" t="s">
        <v>120</v>
      </c>
      <c r="C53" s="22">
        <f t="shared" si="1"/>
        <v>2</v>
      </c>
      <c r="D53" s="22" t="s">
        <v>121</v>
      </c>
      <c r="E53" s="22">
        <f t="shared" si="0"/>
        <v>0.13200000000000001</v>
      </c>
      <c r="F53" s="22" t="s">
        <v>122</v>
      </c>
      <c r="G53" s="22">
        <f t="shared" si="2"/>
        <v>34.946206993944017</v>
      </c>
      <c r="H53" s="22" t="s">
        <v>123</v>
      </c>
      <c r="I53" s="22">
        <f t="shared" si="3"/>
        <v>11.3</v>
      </c>
      <c r="J53" s="22" t="s">
        <v>124</v>
      </c>
      <c r="K53" s="22">
        <f t="shared" si="4"/>
        <v>323.3541197177201</v>
      </c>
      <c r="L53" s="22" t="s">
        <v>125</v>
      </c>
      <c r="M53" s="22">
        <f t="shared" si="5"/>
        <v>-1.8519281362060687</v>
      </c>
    </row>
    <row r="54" spans="1:13" x14ac:dyDescent="0.2">
      <c r="A54" s="24">
        <v>17</v>
      </c>
      <c r="B54" s="22" t="s">
        <v>126</v>
      </c>
      <c r="C54" s="22">
        <f t="shared" si="1"/>
        <v>2</v>
      </c>
      <c r="D54" s="22" t="s">
        <v>127</v>
      </c>
      <c r="E54" s="22">
        <f t="shared" si="0"/>
        <v>0.13200000000000001</v>
      </c>
      <c r="F54" s="22" t="s">
        <v>128</v>
      </c>
      <c r="G54" s="22">
        <f t="shared" si="2"/>
        <v>35.190661507923217</v>
      </c>
      <c r="H54" s="22" t="s">
        <v>129</v>
      </c>
      <c r="I54" s="22">
        <f t="shared" si="3"/>
        <v>11.3</v>
      </c>
      <c r="J54" s="22" t="s">
        <v>130</v>
      </c>
      <c r="K54" s="22">
        <f t="shared" si="4"/>
        <v>321.10791658337519</v>
      </c>
      <c r="L54" s="22" t="s">
        <v>131</v>
      </c>
      <c r="M54" s="22">
        <f t="shared" si="5"/>
        <v>-2.175282255923789</v>
      </c>
    </row>
    <row r="55" spans="1:13" x14ac:dyDescent="0.2">
      <c r="A55" s="24">
        <v>18</v>
      </c>
      <c r="B55" s="22" t="s">
        <v>132</v>
      </c>
      <c r="C55" s="22">
        <f t="shared" si="1"/>
        <v>2</v>
      </c>
      <c r="D55" s="22" t="s">
        <v>133</v>
      </c>
      <c r="E55" s="22">
        <f t="shared" si="0"/>
        <v>0.13200000000000001</v>
      </c>
      <c r="F55" s="22" t="s">
        <v>134</v>
      </c>
      <c r="G55" s="22">
        <f t="shared" si="2"/>
        <v>35.47779876570516</v>
      </c>
      <c r="H55" s="22" t="s">
        <v>135</v>
      </c>
      <c r="I55" s="22">
        <f t="shared" si="3"/>
        <v>11.3</v>
      </c>
      <c r="J55" s="22" t="s">
        <v>136</v>
      </c>
      <c r="K55" s="22">
        <f t="shared" si="4"/>
        <v>318.50905053678855</v>
      </c>
      <c r="L55" s="22" t="s">
        <v>137</v>
      </c>
      <c r="M55" s="22">
        <f t="shared" si="5"/>
        <v>-2.496390172507164</v>
      </c>
    </row>
    <row r="56" spans="1:13" x14ac:dyDescent="0.2">
      <c r="A56" s="24">
        <v>19</v>
      </c>
      <c r="B56" s="22" t="s">
        <v>138</v>
      </c>
      <c r="C56" s="22">
        <f t="shared" si="1"/>
        <v>2</v>
      </c>
      <c r="D56" s="22" t="s">
        <v>139</v>
      </c>
      <c r="E56" s="22">
        <f t="shared" si="0"/>
        <v>0.13200000000000001</v>
      </c>
      <c r="F56" s="22" t="s">
        <v>140</v>
      </c>
      <c r="G56" s="22">
        <f t="shared" si="2"/>
        <v>35.807322268476106</v>
      </c>
      <c r="H56" s="22" t="s">
        <v>141</v>
      </c>
      <c r="I56" s="22">
        <f t="shared" si="3"/>
        <v>11.3</v>
      </c>
      <c r="J56" s="22" t="s">
        <v>142</v>
      </c>
      <c r="K56" s="22">
        <f t="shared" si="4"/>
        <v>315.57791211738402</v>
      </c>
      <c r="L56" s="22" t="s">
        <v>143</v>
      </c>
      <c r="M56" s="22">
        <f t="shared" si="5"/>
        <v>-2.8148992230439527</v>
      </c>
    </row>
    <row r="57" spans="1:13" x14ac:dyDescent="0.2">
      <c r="A57" s="24">
        <v>20</v>
      </c>
      <c r="B57" s="22" t="s">
        <v>144</v>
      </c>
      <c r="C57" s="22">
        <f t="shared" si="1"/>
        <v>2</v>
      </c>
      <c r="D57" s="22" t="s">
        <v>145</v>
      </c>
      <c r="E57" s="22">
        <f t="shared" si="0"/>
        <v>0.13200000000000001</v>
      </c>
      <c r="F57" s="22" t="s">
        <v>146</v>
      </c>
      <c r="G57" s="22">
        <f t="shared" si="2"/>
        <v>36.178888965917906</v>
      </c>
      <c r="H57" s="22" t="s">
        <v>147</v>
      </c>
      <c r="I57" s="22">
        <f t="shared" si="3"/>
        <v>11.3</v>
      </c>
      <c r="J57" s="22" t="s">
        <v>148</v>
      </c>
      <c r="K57" s="22">
        <f t="shared" si="4"/>
        <v>312.33684402650101</v>
      </c>
      <c r="L57" s="22" t="s">
        <v>149</v>
      </c>
      <c r="M57" s="22">
        <f t="shared" si="5"/>
        <v>-3.1304771351613367</v>
      </c>
    </row>
    <row r="58" spans="1:13" x14ac:dyDescent="0.2">
      <c r="A58" s="25"/>
    </row>
  </sheetData>
  <sheetProtection password="D3D3" sheet="1" objects="1" scenarios="1"/>
  <mergeCells count="1">
    <mergeCell ref="H21:I21"/>
  </mergeCells>
  <conditionalFormatting sqref="N48:U48 A37:M57">
    <cfRule type="expression" dxfId="12" priority="35" stopIfTrue="1">
      <formula>$M37&lt;0</formula>
    </cfRule>
    <cfRule type="expression" dxfId="11" priority="36" stopIfTrue="1">
      <formula>$M37&lt;$K37/1000</formula>
    </cfRule>
  </conditionalFormatting>
  <conditionalFormatting sqref="L37:M57 H38:M57 F38:F57 G37:G57 A37:M56 A37:A57 E37:E57">
    <cfRule type="expression" dxfId="10" priority="53" stopIfTrue="1">
      <formula>$M37&lt;0</formula>
    </cfRule>
    <cfRule type="expression" dxfId="9" priority="54" stopIfTrue="1">
      <formula>$G37&lt;31</formula>
    </cfRule>
  </conditionalFormatting>
  <conditionalFormatting sqref="E37">
    <cfRule type="expression" dxfId="8" priority="71" stopIfTrue="1">
      <formula>$M36&lt;0</formula>
    </cfRule>
    <cfRule type="expression" dxfId="7" priority="72" stopIfTrue="1">
      <formula>$G36&lt;$C$2/2</formula>
    </cfRule>
  </conditionalFormatting>
  <conditionalFormatting sqref="N49:U49">
    <cfRule type="expression" dxfId="6" priority="73" stopIfTrue="1">
      <formula>$M49&lt;0</formula>
    </cfRule>
    <cfRule type="expression" dxfId="5" priority="74" stopIfTrue="1">
      <formula>$G49&lt;$K49/1000</formula>
    </cfRule>
  </conditionalFormatting>
  <conditionalFormatting sqref="A40 K40">
    <cfRule type="expression" dxfId="4" priority="1" stopIfTrue="1">
      <formula>$M40&lt;0</formula>
    </cfRule>
    <cfRule type="expression" dxfId="3" priority="2" stopIfTrue="1">
      <formula>$G40&lt;31</formula>
    </cfRule>
  </conditionalFormatting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>
              <from>
                <xdr:col>0</xdr:col>
                <xdr:colOff>114300</xdr:colOff>
                <xdr:row>18</xdr:row>
                <xdr:rowOff>28575</xdr:rowOff>
              </from>
              <to>
                <xdr:col>6</xdr:col>
                <xdr:colOff>171450</xdr:colOff>
                <xdr:row>33</xdr:row>
                <xdr:rowOff>66675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3"/>
  <sheetViews>
    <sheetView tabSelected="1" zoomScaleNormal="100" workbookViewId="0">
      <selection activeCell="B4" sqref="B4"/>
    </sheetView>
  </sheetViews>
  <sheetFormatPr defaultRowHeight="12.75" x14ac:dyDescent="0.2"/>
  <cols>
    <col min="1" max="1" width="9.140625" style="41"/>
    <col min="2" max="2" width="10.140625" style="41" bestFit="1" customWidth="1"/>
    <col min="3" max="16384" width="9.140625" style="41"/>
  </cols>
  <sheetData>
    <row r="1" spans="1:4" ht="20.25" x14ac:dyDescent="0.3">
      <c r="A1" s="39" t="s">
        <v>173</v>
      </c>
      <c r="B1" s="40"/>
      <c r="C1" s="40"/>
      <c r="D1" s="40"/>
    </row>
    <row r="2" spans="1:4" x14ac:dyDescent="0.2">
      <c r="A2" s="42" t="s">
        <v>158</v>
      </c>
      <c r="B2" s="42" t="s">
        <v>191</v>
      </c>
    </row>
    <row r="3" spans="1:4" x14ac:dyDescent="0.2">
      <c r="A3" s="42" t="s">
        <v>157</v>
      </c>
      <c r="B3" s="62">
        <v>43363</v>
      </c>
    </row>
    <row r="4" spans="1:4" x14ac:dyDescent="0.2">
      <c r="A4" s="42"/>
      <c r="B4" s="42"/>
    </row>
    <row r="17" spans="1:5" x14ac:dyDescent="0.2">
      <c r="B17" s="48"/>
      <c r="E17" s="48"/>
    </row>
    <row r="19" spans="1:5" x14ac:dyDescent="0.2">
      <c r="A19" s="42" t="s">
        <v>172</v>
      </c>
    </row>
    <row r="20" spans="1:5" x14ac:dyDescent="0.2">
      <c r="A20" s="42" t="s">
        <v>169</v>
      </c>
    </row>
    <row r="21" spans="1:5" x14ac:dyDescent="0.2">
      <c r="A21" s="42" t="s">
        <v>160</v>
      </c>
    </row>
    <row r="22" spans="1:5" x14ac:dyDescent="0.2">
      <c r="A22" s="42" t="s">
        <v>159</v>
      </c>
    </row>
    <row r="23" spans="1:5" x14ac:dyDescent="0.2">
      <c r="A23" s="42"/>
    </row>
  </sheetData>
  <sheetProtection password="D3D3" sheet="1" objects="1" scenarios="1" selectLockedCells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6"/>
  <sheetViews>
    <sheetView zoomScaleNormal="100" workbookViewId="0">
      <selection activeCell="C3" sqref="C3"/>
    </sheetView>
  </sheetViews>
  <sheetFormatPr defaultRowHeight="12.75" x14ac:dyDescent="0.2"/>
  <cols>
    <col min="1" max="1" width="7.5703125" style="29" customWidth="1"/>
    <col min="2" max="2" width="16.140625" style="35" customWidth="1"/>
    <col min="3" max="3" width="15.85546875" style="29" customWidth="1"/>
    <col min="4" max="5" width="7" style="29" hidden="1" customWidth="1"/>
    <col min="6" max="6" width="10.5703125" style="29" hidden="1" customWidth="1"/>
    <col min="7" max="7" width="8.7109375" style="29" hidden="1" customWidth="1"/>
    <col min="8" max="8" width="9" style="29" hidden="1" customWidth="1"/>
    <col min="9" max="9" width="10.5703125" style="29" hidden="1" customWidth="1"/>
    <col min="10" max="11" width="7.85546875" style="29" hidden="1" customWidth="1"/>
    <col min="12" max="12" width="6" style="29" hidden="1" customWidth="1"/>
    <col min="13" max="13" width="6.140625" style="29" hidden="1" customWidth="1"/>
    <col min="14" max="14" width="5" style="29" hidden="1" customWidth="1"/>
    <col min="15" max="15" width="7" style="29" customWidth="1"/>
    <col min="16" max="16" width="10.28515625" style="29" customWidth="1"/>
    <col min="17" max="17" width="2.42578125" style="29" customWidth="1"/>
    <col min="18" max="18" width="5.7109375" style="29" customWidth="1"/>
    <col min="19" max="21" width="9.140625" style="29" customWidth="1"/>
    <col min="22" max="16384" width="9.140625" style="29"/>
  </cols>
  <sheetData>
    <row r="1" spans="1:18" ht="27" customHeight="1" thickBot="1" x14ac:dyDescent="0.25">
      <c r="B1" s="32"/>
      <c r="C1" s="32"/>
      <c r="D1" s="33" t="s">
        <v>155</v>
      </c>
      <c r="E1" s="34" t="s">
        <v>153</v>
      </c>
      <c r="F1" s="34" t="s">
        <v>154</v>
      </c>
      <c r="G1" s="34" t="s">
        <v>24</v>
      </c>
      <c r="H1" s="34" t="s">
        <v>25</v>
      </c>
      <c r="I1" s="29" t="s">
        <v>179</v>
      </c>
      <c r="J1" s="29" t="s">
        <v>180</v>
      </c>
      <c r="M1" s="49">
        <f ca="1">NOW()</f>
        <v>43363.448060763891</v>
      </c>
    </row>
    <row r="2" spans="1:18" ht="27.75" customHeight="1" thickBot="1" x14ac:dyDescent="0.25">
      <c r="A2" s="43" t="s">
        <v>152</v>
      </c>
      <c r="B2" s="44" t="s">
        <v>186</v>
      </c>
      <c r="C2" s="44" t="s">
        <v>156</v>
      </c>
      <c r="D2" s="60">
        <v>3.2808399000000001</v>
      </c>
      <c r="F2" s="30">
        <f>Data!$B$2</f>
        <v>48</v>
      </c>
      <c r="H2" s="61">
        <v>3</v>
      </c>
      <c r="I2" s="29">
        <f>IFERROR(MATCH(1,I3:I43,0),)</f>
        <v>41</v>
      </c>
      <c r="J2" s="29">
        <f>IFERROR(MATCH(1,J3:J43,0),)</f>
        <v>41</v>
      </c>
      <c r="L2" s="29">
        <v>3</v>
      </c>
      <c r="M2" s="50">
        <v>41</v>
      </c>
      <c r="N2" s="51">
        <v>41</v>
      </c>
    </row>
    <row r="3" spans="1:18" x14ac:dyDescent="0.2">
      <c r="A3" s="35">
        <v>1</v>
      </c>
      <c r="B3" s="54">
        <v>2</v>
      </c>
      <c r="C3" s="55"/>
      <c r="D3" s="29" t="str">
        <f>IF(ISBLANK(C3),"",VLOOKUP(C3,Data!$A$9:$B$16,2,FALSE))</f>
        <v/>
      </c>
      <c r="E3" s="29" t="str">
        <f>IF(OR(COUNTBLANK(B3)&gt;0,COUNTBLANK(D3)&gt;0),"",2*(Data!$B$7/1000)*B3+ 4*Data!$B$6/1000)</f>
        <v/>
      </c>
      <c r="F3" s="30" t="str">
        <f t="shared" ref="F3" si="0">IF(COUNTBLANK(E3)&gt;0,"",F2-(H2*E3))</f>
        <v/>
      </c>
      <c r="G3" s="30" t="str">
        <f t="shared" ref="G3" si="1">IF(COUNTBLANK(F3)&gt;0,"",(D3/F3)*1000)</f>
        <v/>
      </c>
      <c r="H3" s="31" t="str">
        <f t="shared" ref="H3" si="2">IF(COUNTBLANK(G3)&gt;0,"",H2-G2/1000)</f>
        <v/>
      </c>
      <c r="I3" s="29">
        <f>IFERROR(IF(LEFT(C3,6)="DCNM-D",IF((F3&lt;35),1,0),IF((F3&lt;31),1,0)),)</f>
        <v>0</v>
      </c>
      <c r="J3" s="29">
        <f>IFERROR(IF(H3&lt;G3/1000,1,0),)</f>
        <v>0</v>
      </c>
      <c r="K3" s="29">
        <f>I3+J3</f>
        <v>0</v>
      </c>
      <c r="L3" s="29">
        <v>3</v>
      </c>
      <c r="M3" s="50">
        <v>41</v>
      </c>
      <c r="N3" s="50">
        <v>41</v>
      </c>
    </row>
    <row r="4" spans="1:18" x14ac:dyDescent="0.2">
      <c r="A4" s="35">
        <v>2</v>
      </c>
      <c r="B4" s="54">
        <v>2</v>
      </c>
      <c r="C4" s="55" t="s">
        <v>151</v>
      </c>
      <c r="D4" s="29">
        <f>IF(ISBLANK(C4),"",VLOOKUP(C4,Data!$A$9:$B$16,2,FALSE))</f>
        <v>11.3</v>
      </c>
      <c r="E4" s="29">
        <f>IF(OR(COUNTBLANK(B4)&gt;0,COUNTBLANK(D4)&gt;0),"",2*(Data!$B$7/1000)*B4+ 4*Data!$B$6/1000)</f>
        <v>0.13200000000000001</v>
      </c>
      <c r="F4" s="30" t="e">
        <f t="shared" ref="F4" si="3">IF(COUNTBLANK(E4)&gt;0,"",F3-(H3*E4))</f>
        <v>#VALUE!</v>
      </c>
      <c r="G4" s="30" t="e">
        <f t="shared" ref="G4" si="4">IF(COUNTBLANK(F4)&gt;0,"",(D4/F4)*1000)</f>
        <v>#VALUE!</v>
      </c>
      <c r="H4" s="31" t="e">
        <f t="shared" ref="H4" si="5">IF(COUNTBLANK(G4)&gt;0,"",H3-G3/1000)</f>
        <v>#VALUE!</v>
      </c>
      <c r="I4" s="29">
        <f>IFERROR(IF(LEFT(C4,6)="DCNM-D",IF((F4&lt;35),1,0),IF((F4&lt;31),1,0)),)</f>
        <v>0</v>
      </c>
      <c r="J4" s="29">
        <f>IFERROR(IF(H4&lt;G4/1000,1,0),)</f>
        <v>0</v>
      </c>
      <c r="K4" s="29">
        <f>I4+J4+SUM($K$3:K3)</f>
        <v>0</v>
      </c>
      <c r="L4" s="29">
        <v>3</v>
      </c>
      <c r="M4" s="50">
        <v>41</v>
      </c>
      <c r="N4" s="50">
        <v>41</v>
      </c>
    </row>
    <row r="5" spans="1:18" x14ac:dyDescent="0.2">
      <c r="A5" s="35">
        <v>3</v>
      </c>
      <c r="B5" s="54">
        <v>2</v>
      </c>
      <c r="C5" s="55" t="s">
        <v>188</v>
      </c>
      <c r="D5" s="29">
        <f>IF(ISBLANK(C5),"",VLOOKUP(C5,Data!$A$9:$B$16,2,FALSE))</f>
        <v>18</v>
      </c>
      <c r="E5" s="29">
        <f>IF(OR(COUNTBLANK(B5)&gt;0,COUNTBLANK(D5)&gt;0),"",2*(Data!$B$7/1000)*B5+ 4*Data!$B$6/1000)</f>
        <v>0.13200000000000001</v>
      </c>
      <c r="F5" s="30" t="e">
        <f t="shared" ref="F5:F35" si="6">IF(COUNTBLANK(E5)&gt;0,"",F4-(H4*E5))</f>
        <v>#VALUE!</v>
      </c>
      <c r="G5" s="30" t="e">
        <f t="shared" ref="G5:G35" si="7">IF(COUNTBLANK(F5)&gt;0,"",(D5/F5)*1000)</f>
        <v>#VALUE!</v>
      </c>
      <c r="H5" s="31" t="e">
        <f t="shared" ref="H5:H35" si="8">IF(COUNTBLANK(G5)&gt;0,"",H4-G4/1000)</f>
        <v>#VALUE!</v>
      </c>
      <c r="I5" s="29">
        <f t="shared" ref="I5:I35" si="9">IFERROR(IF(LEFT(C5,6)="DCNM-D",IF((F5&lt;35),1,0),IF((F5&lt;31),1,0)),)</f>
        <v>0</v>
      </c>
      <c r="J5" s="29">
        <f t="shared" ref="J5:J35" si="10">IFERROR(IF(H5&lt;G5/1000,1,0),)</f>
        <v>0</v>
      </c>
      <c r="K5" s="29">
        <f>I5+J5+SUM($K$3:K4)</f>
        <v>0</v>
      </c>
      <c r="M5" s="50"/>
      <c r="N5" s="50"/>
    </row>
    <row r="6" spans="1:18" x14ac:dyDescent="0.2">
      <c r="A6" s="35">
        <v>4</v>
      </c>
      <c r="B6" s="54">
        <v>2</v>
      </c>
      <c r="C6" s="55" t="s">
        <v>188</v>
      </c>
      <c r="D6" s="29">
        <f>IF(ISBLANK(C6),"",VLOOKUP(C6,Data!$A$9:$B$16,2,FALSE))</f>
        <v>18</v>
      </c>
      <c r="E6" s="29">
        <f>IF(OR(COUNTBLANK(B6)&gt;0,COUNTBLANK(D6)&gt;0),"",2*(Data!$B$7/1000)*B6+ 4*Data!$B$6/1000)</f>
        <v>0.13200000000000001</v>
      </c>
      <c r="F6" s="30" t="e">
        <f t="shared" si="6"/>
        <v>#VALUE!</v>
      </c>
      <c r="G6" s="30" t="e">
        <f t="shared" si="7"/>
        <v>#VALUE!</v>
      </c>
      <c r="H6" s="31" t="e">
        <f t="shared" si="8"/>
        <v>#VALUE!</v>
      </c>
      <c r="I6" s="29">
        <f t="shared" si="9"/>
        <v>0</v>
      </c>
      <c r="J6" s="29">
        <f t="shared" si="10"/>
        <v>0</v>
      </c>
      <c r="K6" s="29">
        <f>I6+J6+SUM($K$3:K5)</f>
        <v>0</v>
      </c>
      <c r="M6" s="50"/>
      <c r="N6" s="50"/>
    </row>
    <row r="7" spans="1:18" x14ac:dyDescent="0.2">
      <c r="A7" s="35">
        <v>5</v>
      </c>
      <c r="B7" s="54">
        <v>2</v>
      </c>
      <c r="C7" s="55" t="s">
        <v>188</v>
      </c>
      <c r="D7" s="29">
        <f>IF(ISBLANK(C7),"",VLOOKUP(C7,Data!$A$9:$B$16,2,FALSE))</f>
        <v>18</v>
      </c>
      <c r="E7" s="29">
        <f>IF(OR(COUNTBLANK(B7)&gt;0,COUNTBLANK(D7)&gt;0),"",2*(Data!$B$7/1000)*B7+ 4*Data!$B$6/1000)</f>
        <v>0.13200000000000001</v>
      </c>
      <c r="F7" s="30" t="e">
        <f t="shared" si="6"/>
        <v>#VALUE!</v>
      </c>
      <c r="G7" s="30" t="e">
        <f t="shared" si="7"/>
        <v>#VALUE!</v>
      </c>
      <c r="H7" s="31" t="e">
        <f t="shared" si="8"/>
        <v>#VALUE!</v>
      </c>
      <c r="I7" s="29">
        <f t="shared" si="9"/>
        <v>0</v>
      </c>
      <c r="J7" s="29">
        <f t="shared" si="10"/>
        <v>0</v>
      </c>
      <c r="K7" s="29">
        <f>I7+J7+SUM($K$3:K6)</f>
        <v>0</v>
      </c>
      <c r="M7" s="50"/>
      <c r="N7" s="50"/>
    </row>
    <row r="8" spans="1:18" x14ac:dyDescent="0.2">
      <c r="A8" s="35">
        <v>6</v>
      </c>
      <c r="B8" s="54">
        <v>2</v>
      </c>
      <c r="C8" s="55" t="s">
        <v>188</v>
      </c>
      <c r="D8" s="29">
        <f>IF(ISBLANK(C8),"",VLOOKUP(C8,Data!$A$9:$B$16,2,FALSE))</f>
        <v>18</v>
      </c>
      <c r="E8" s="29">
        <f>IF(OR(COUNTBLANK(B8)&gt;0,COUNTBLANK(D8)&gt;0),"",2*(Data!$B$7/1000)*B8+ 4*Data!$B$6/1000)</f>
        <v>0.13200000000000001</v>
      </c>
      <c r="F8" s="30" t="e">
        <f t="shared" si="6"/>
        <v>#VALUE!</v>
      </c>
      <c r="G8" s="30" t="e">
        <f t="shared" si="7"/>
        <v>#VALUE!</v>
      </c>
      <c r="H8" s="31" t="e">
        <f t="shared" si="8"/>
        <v>#VALUE!</v>
      </c>
      <c r="I8" s="29">
        <f t="shared" si="9"/>
        <v>0</v>
      </c>
      <c r="J8" s="29">
        <f t="shared" si="10"/>
        <v>0</v>
      </c>
      <c r="K8" s="29">
        <f>I8+J8+SUM($K$3:K7)</f>
        <v>0</v>
      </c>
      <c r="M8" s="50"/>
      <c r="N8" s="50"/>
    </row>
    <row r="9" spans="1:18" x14ac:dyDescent="0.2">
      <c r="A9" s="35">
        <v>7</v>
      </c>
      <c r="B9" s="54">
        <v>2</v>
      </c>
      <c r="C9" s="55" t="s">
        <v>188</v>
      </c>
      <c r="D9" s="29">
        <f>IF(ISBLANK(C9),"",VLOOKUP(C9,Data!$A$9:$B$16,2,FALSE))</f>
        <v>18</v>
      </c>
      <c r="E9" s="29">
        <f>IF(OR(COUNTBLANK(B9)&gt;0,COUNTBLANK(D9)&gt;0),"",2*(Data!$B$7/1000)*B9+ 4*Data!$B$6/1000)</f>
        <v>0.13200000000000001</v>
      </c>
      <c r="F9" s="30" t="e">
        <f t="shared" si="6"/>
        <v>#VALUE!</v>
      </c>
      <c r="G9" s="30" t="e">
        <f t="shared" si="7"/>
        <v>#VALUE!</v>
      </c>
      <c r="H9" s="31" t="e">
        <f t="shared" si="8"/>
        <v>#VALUE!</v>
      </c>
      <c r="I9" s="29">
        <f t="shared" si="9"/>
        <v>0</v>
      </c>
      <c r="J9" s="29">
        <f t="shared" si="10"/>
        <v>0</v>
      </c>
      <c r="K9" s="29">
        <f>I9+J9+SUM($K$3:K8)</f>
        <v>0</v>
      </c>
      <c r="M9" s="50"/>
      <c r="N9" s="50"/>
    </row>
    <row r="10" spans="1:18" x14ac:dyDescent="0.2">
      <c r="A10" s="35">
        <v>8</v>
      </c>
      <c r="B10" s="54">
        <v>2</v>
      </c>
      <c r="C10" s="55" t="s">
        <v>188</v>
      </c>
      <c r="D10" s="29">
        <f>IF(ISBLANK(C10),"",VLOOKUP(C10,Data!$A$9:$B$16,2,FALSE))</f>
        <v>18</v>
      </c>
      <c r="E10" s="29">
        <f>IF(OR(COUNTBLANK(B10)&gt;0,COUNTBLANK(D10)&gt;0),"",2*(Data!$B$7/1000)*B10+ 4*Data!$B$6/1000)</f>
        <v>0.13200000000000001</v>
      </c>
      <c r="F10" s="30" t="e">
        <f t="shared" si="6"/>
        <v>#VALUE!</v>
      </c>
      <c r="G10" s="30" t="e">
        <f t="shared" si="7"/>
        <v>#VALUE!</v>
      </c>
      <c r="H10" s="31" t="e">
        <f t="shared" si="8"/>
        <v>#VALUE!</v>
      </c>
      <c r="I10" s="29">
        <f t="shared" si="9"/>
        <v>0</v>
      </c>
      <c r="J10" s="29">
        <f t="shared" si="10"/>
        <v>0</v>
      </c>
      <c r="K10" s="29">
        <f>I10+J10+SUM($K$3:K9)</f>
        <v>0</v>
      </c>
      <c r="M10" s="50"/>
      <c r="N10" s="50"/>
    </row>
    <row r="11" spans="1:18" x14ac:dyDescent="0.2">
      <c r="A11" s="35">
        <v>9</v>
      </c>
      <c r="B11" s="54">
        <v>2</v>
      </c>
      <c r="C11" s="55" t="s">
        <v>188</v>
      </c>
      <c r="D11" s="29">
        <f>IF(ISBLANK(C11),"",VLOOKUP(C11,Data!$A$9:$B$16,2,FALSE))</f>
        <v>18</v>
      </c>
      <c r="E11" s="29">
        <f>IF(OR(COUNTBLANK(B11)&gt;0,COUNTBLANK(D11)&gt;0),"",2*(Data!$B$7/1000)*B11+ 4*Data!$B$6/1000)</f>
        <v>0.13200000000000001</v>
      </c>
      <c r="F11" s="30" t="e">
        <f t="shared" si="6"/>
        <v>#VALUE!</v>
      </c>
      <c r="G11" s="30" t="e">
        <f t="shared" si="7"/>
        <v>#VALUE!</v>
      </c>
      <c r="H11" s="31" t="e">
        <f t="shared" si="8"/>
        <v>#VALUE!</v>
      </c>
      <c r="I11" s="29">
        <f t="shared" si="9"/>
        <v>0</v>
      </c>
      <c r="J11" s="29">
        <f t="shared" si="10"/>
        <v>0</v>
      </c>
      <c r="K11" s="29">
        <f>I11+J11+SUM($K$3:K10)</f>
        <v>0</v>
      </c>
      <c r="M11" s="50"/>
      <c r="N11" s="50"/>
    </row>
    <row r="12" spans="1:18" x14ac:dyDescent="0.2">
      <c r="A12" s="35">
        <v>10</v>
      </c>
      <c r="B12" s="54">
        <v>2</v>
      </c>
      <c r="C12" s="55" t="s">
        <v>188</v>
      </c>
      <c r="D12" s="29">
        <f>IF(ISBLANK(C12),"",VLOOKUP(C12,Data!$A$9:$B$16,2,FALSE))</f>
        <v>18</v>
      </c>
      <c r="E12" s="29">
        <f>IF(OR(COUNTBLANK(B12)&gt;0,COUNTBLANK(D12)&gt;0),"",2*(Data!$B$7/1000)*B12+ 4*Data!$B$6/1000)</f>
        <v>0.13200000000000001</v>
      </c>
      <c r="F12" s="30" t="e">
        <f t="shared" si="6"/>
        <v>#VALUE!</v>
      </c>
      <c r="G12" s="30" t="e">
        <f t="shared" si="7"/>
        <v>#VALUE!</v>
      </c>
      <c r="H12" s="31" t="e">
        <f t="shared" si="8"/>
        <v>#VALUE!</v>
      </c>
      <c r="I12" s="29">
        <f t="shared" si="9"/>
        <v>0</v>
      </c>
      <c r="J12" s="29">
        <f t="shared" si="10"/>
        <v>0</v>
      </c>
      <c r="K12" s="29">
        <f>I12+J12+SUM($K$3:K11)</f>
        <v>0</v>
      </c>
      <c r="M12" s="50"/>
      <c r="N12" s="50"/>
    </row>
    <row r="13" spans="1:18" x14ac:dyDescent="0.2">
      <c r="A13" s="35">
        <v>11</v>
      </c>
      <c r="B13" s="54">
        <v>2</v>
      </c>
      <c r="C13" s="55" t="s">
        <v>188</v>
      </c>
      <c r="D13" s="29">
        <f>IF(ISBLANK(C13),"",VLOOKUP(C13,Data!$A$9:$B$16,2,FALSE))</f>
        <v>18</v>
      </c>
      <c r="E13" s="29">
        <f>IF(OR(COUNTBLANK(B13)&gt;0,COUNTBLANK(D13)&gt;0),"",2*(Data!$B$7/1000)*B13+ 4*Data!$B$6/1000)</f>
        <v>0.13200000000000001</v>
      </c>
      <c r="F13" s="30" t="e">
        <f t="shared" si="6"/>
        <v>#VALUE!</v>
      </c>
      <c r="G13" s="30" t="e">
        <f t="shared" si="7"/>
        <v>#VALUE!</v>
      </c>
      <c r="H13" s="31" t="e">
        <f t="shared" si="8"/>
        <v>#VALUE!</v>
      </c>
      <c r="I13" s="29">
        <f t="shared" si="9"/>
        <v>0</v>
      </c>
      <c r="J13" s="29">
        <f t="shared" si="10"/>
        <v>0</v>
      </c>
      <c r="K13" s="29">
        <f>I13+J13+SUM($K$3:K12)</f>
        <v>0</v>
      </c>
      <c r="M13" s="53"/>
      <c r="N13" s="53"/>
      <c r="O13" s="36"/>
      <c r="P13" s="37"/>
      <c r="Q13" s="36"/>
      <c r="R13" s="37"/>
    </row>
    <row r="14" spans="1:18" x14ac:dyDescent="0.2">
      <c r="A14" s="35">
        <v>12</v>
      </c>
      <c r="B14" s="54">
        <v>2</v>
      </c>
      <c r="C14" s="55" t="s">
        <v>188</v>
      </c>
      <c r="D14" s="29">
        <f>IF(ISBLANK(C14),"",VLOOKUP(C14,Data!$A$9:$B$16,2,FALSE))</f>
        <v>18</v>
      </c>
      <c r="E14" s="29">
        <f>IF(OR(COUNTBLANK(B14)&gt;0,COUNTBLANK(D14)&gt;0),"",2*(Data!$B$7/1000)*B14+ 4*Data!$B$6/1000)</f>
        <v>0.13200000000000001</v>
      </c>
      <c r="F14" s="30" t="e">
        <f t="shared" si="6"/>
        <v>#VALUE!</v>
      </c>
      <c r="G14" s="30" t="e">
        <f t="shared" si="7"/>
        <v>#VALUE!</v>
      </c>
      <c r="H14" s="31" t="e">
        <f t="shared" si="8"/>
        <v>#VALUE!</v>
      </c>
      <c r="I14" s="29">
        <f t="shared" si="9"/>
        <v>0</v>
      </c>
      <c r="J14" s="29">
        <f t="shared" si="10"/>
        <v>0</v>
      </c>
      <c r="K14" s="29">
        <f>I14+J14+SUM($K$3:K13)</f>
        <v>0</v>
      </c>
      <c r="M14" s="52"/>
      <c r="N14" s="52"/>
      <c r="O14" s="38"/>
      <c r="P14" s="38"/>
      <c r="Q14" s="38"/>
      <c r="R14" s="38"/>
    </row>
    <row r="15" spans="1:18" x14ac:dyDescent="0.2">
      <c r="A15" s="35">
        <v>13</v>
      </c>
      <c r="B15" s="54">
        <v>2</v>
      </c>
      <c r="C15" s="55" t="s">
        <v>188</v>
      </c>
      <c r="D15" s="29">
        <f>IF(ISBLANK(C15),"",VLOOKUP(C15,Data!$A$9:$B$16,2,FALSE))</f>
        <v>18</v>
      </c>
      <c r="E15" s="29">
        <f>IF(OR(COUNTBLANK(B15)&gt;0,COUNTBLANK(D15)&gt;0),"",2*(Data!$B$7/1000)*B15+ 4*Data!$B$6/1000)</f>
        <v>0.13200000000000001</v>
      </c>
      <c r="F15" s="30" t="e">
        <f t="shared" si="6"/>
        <v>#VALUE!</v>
      </c>
      <c r="G15" s="30" t="e">
        <f t="shared" si="7"/>
        <v>#VALUE!</v>
      </c>
      <c r="H15" s="31" t="e">
        <f t="shared" si="8"/>
        <v>#VALUE!</v>
      </c>
      <c r="I15" s="29">
        <f t="shared" si="9"/>
        <v>0</v>
      </c>
      <c r="J15" s="29">
        <f t="shared" si="10"/>
        <v>0</v>
      </c>
      <c r="K15" s="29">
        <f>I15+J15+SUM($K$3:K14)</f>
        <v>0</v>
      </c>
      <c r="M15" s="52"/>
      <c r="N15" s="52"/>
      <c r="O15" s="38"/>
      <c r="P15" s="38"/>
      <c r="Q15" s="38"/>
      <c r="R15" s="38"/>
    </row>
    <row r="16" spans="1:18" x14ac:dyDescent="0.2">
      <c r="A16" s="35">
        <v>14</v>
      </c>
      <c r="B16" s="54">
        <v>2</v>
      </c>
      <c r="C16" s="55" t="s">
        <v>188</v>
      </c>
      <c r="D16" s="29">
        <f>IF(ISBLANK(C16),"",VLOOKUP(C16,Data!$A$9:$B$16,2,FALSE))</f>
        <v>18</v>
      </c>
      <c r="E16" s="29">
        <f>IF(OR(COUNTBLANK(B16)&gt;0,COUNTBLANK(D16)&gt;0),"",2*(Data!$B$7/1000)*B16+ 4*Data!$B$6/1000)</f>
        <v>0.13200000000000001</v>
      </c>
      <c r="F16" s="30" t="e">
        <f t="shared" si="6"/>
        <v>#VALUE!</v>
      </c>
      <c r="G16" s="30" t="e">
        <f t="shared" si="7"/>
        <v>#VALUE!</v>
      </c>
      <c r="H16" s="31" t="e">
        <f t="shared" si="8"/>
        <v>#VALUE!</v>
      </c>
      <c r="I16" s="29">
        <f t="shared" si="9"/>
        <v>0</v>
      </c>
      <c r="J16" s="29">
        <f t="shared" si="10"/>
        <v>0</v>
      </c>
      <c r="K16" s="29">
        <f>I16+J16+SUM($K$3:K15)</f>
        <v>0</v>
      </c>
      <c r="M16" s="52"/>
      <c r="N16" s="52"/>
      <c r="O16" s="38"/>
      <c r="P16" s="38"/>
      <c r="Q16" s="38"/>
      <c r="R16" s="38"/>
    </row>
    <row r="17" spans="1:18" x14ac:dyDescent="0.2">
      <c r="A17" s="35">
        <v>15</v>
      </c>
      <c r="B17" s="54">
        <v>2</v>
      </c>
      <c r="C17" s="55" t="s">
        <v>188</v>
      </c>
      <c r="D17" s="29">
        <f>IF(ISBLANK(C17),"",VLOOKUP(C17,Data!$A$9:$B$16,2,FALSE))</f>
        <v>18</v>
      </c>
      <c r="E17" s="29">
        <f>IF(OR(COUNTBLANK(B17)&gt;0,COUNTBLANK(D17)&gt;0),"",2*(Data!$B$7/1000)*B17+ 4*Data!$B$6/1000)</f>
        <v>0.13200000000000001</v>
      </c>
      <c r="F17" s="30" t="e">
        <f t="shared" si="6"/>
        <v>#VALUE!</v>
      </c>
      <c r="G17" s="30" t="e">
        <f t="shared" si="7"/>
        <v>#VALUE!</v>
      </c>
      <c r="H17" s="31" t="e">
        <f t="shared" si="8"/>
        <v>#VALUE!</v>
      </c>
      <c r="I17" s="29">
        <f t="shared" si="9"/>
        <v>0</v>
      </c>
      <c r="J17" s="29">
        <f t="shared" si="10"/>
        <v>0</v>
      </c>
      <c r="K17" s="29">
        <f>I17+J17+SUM($K$3:K16)</f>
        <v>0</v>
      </c>
      <c r="M17" s="52"/>
      <c r="N17" s="52"/>
      <c r="O17" s="38"/>
      <c r="P17" s="38"/>
      <c r="Q17" s="38"/>
      <c r="R17" s="38"/>
    </row>
    <row r="18" spans="1:18" x14ac:dyDescent="0.2">
      <c r="A18" s="35">
        <v>16</v>
      </c>
      <c r="B18" s="54">
        <v>2</v>
      </c>
      <c r="C18" s="55" t="s">
        <v>188</v>
      </c>
      <c r="D18" s="29">
        <f>IF(ISBLANK(C18),"",VLOOKUP(C18,Data!$A$9:$B$16,2,FALSE))</f>
        <v>18</v>
      </c>
      <c r="E18" s="29">
        <f>IF(OR(COUNTBLANK(B18)&gt;0,COUNTBLANK(D18)&gt;0),"",2*(Data!$B$7/1000)*B18+ 4*Data!$B$6/1000)</f>
        <v>0.13200000000000001</v>
      </c>
      <c r="F18" s="30" t="e">
        <f t="shared" si="6"/>
        <v>#VALUE!</v>
      </c>
      <c r="G18" s="30" t="e">
        <f t="shared" si="7"/>
        <v>#VALUE!</v>
      </c>
      <c r="H18" s="31" t="e">
        <f t="shared" si="8"/>
        <v>#VALUE!</v>
      </c>
      <c r="I18" s="29">
        <f t="shared" si="9"/>
        <v>0</v>
      </c>
      <c r="J18" s="29">
        <f t="shared" si="10"/>
        <v>0</v>
      </c>
      <c r="K18" s="29">
        <f>I18+J18+SUM($K$3:K17)</f>
        <v>0</v>
      </c>
      <c r="M18" s="52"/>
      <c r="N18" s="52"/>
      <c r="O18" s="38"/>
      <c r="P18" s="38"/>
      <c r="Q18" s="38"/>
      <c r="R18" s="38"/>
    </row>
    <row r="19" spans="1:18" x14ac:dyDescent="0.2">
      <c r="A19" s="35">
        <v>17</v>
      </c>
      <c r="B19" s="54">
        <v>2</v>
      </c>
      <c r="C19" s="55" t="s">
        <v>188</v>
      </c>
      <c r="D19" s="29">
        <f>IF(ISBLANK(C19),"",VLOOKUP(C19,Data!$A$9:$B$16,2,FALSE))</f>
        <v>18</v>
      </c>
      <c r="E19" s="29">
        <f>IF(OR(COUNTBLANK(B19)&gt;0,COUNTBLANK(D19)&gt;0),"",2*(Data!$B$7/1000)*B19+ 4*Data!$B$6/1000)</f>
        <v>0.13200000000000001</v>
      </c>
      <c r="F19" s="30" t="e">
        <f t="shared" si="6"/>
        <v>#VALUE!</v>
      </c>
      <c r="G19" s="30" t="e">
        <f t="shared" si="7"/>
        <v>#VALUE!</v>
      </c>
      <c r="H19" s="31" t="e">
        <f t="shared" si="8"/>
        <v>#VALUE!</v>
      </c>
      <c r="I19" s="29">
        <f t="shared" si="9"/>
        <v>0</v>
      </c>
      <c r="J19" s="29">
        <f t="shared" si="10"/>
        <v>0</v>
      </c>
      <c r="K19" s="29">
        <f>I19+J19+SUM($K$3:K18)</f>
        <v>0</v>
      </c>
      <c r="M19" s="52"/>
      <c r="N19" s="52"/>
      <c r="O19" s="38"/>
      <c r="P19" s="38"/>
      <c r="Q19" s="38"/>
      <c r="R19" s="38"/>
    </row>
    <row r="20" spans="1:18" x14ac:dyDescent="0.2">
      <c r="A20" s="35">
        <v>18</v>
      </c>
      <c r="B20" s="54">
        <v>2</v>
      </c>
      <c r="C20" s="55" t="s">
        <v>188</v>
      </c>
      <c r="D20" s="29">
        <f>IF(ISBLANK(C20),"",VLOOKUP(C20,Data!$A$9:$B$16,2,FALSE))</f>
        <v>18</v>
      </c>
      <c r="E20" s="29">
        <f>IF(OR(COUNTBLANK(B20)&gt;0,COUNTBLANK(D20)&gt;0),"",2*(Data!$B$7/1000)*B20+ 4*Data!$B$6/1000)</f>
        <v>0.13200000000000001</v>
      </c>
      <c r="F20" s="30" t="e">
        <f t="shared" si="6"/>
        <v>#VALUE!</v>
      </c>
      <c r="G20" s="30" t="e">
        <f t="shared" si="7"/>
        <v>#VALUE!</v>
      </c>
      <c r="H20" s="31" t="e">
        <f t="shared" si="8"/>
        <v>#VALUE!</v>
      </c>
      <c r="I20" s="29">
        <f t="shared" si="9"/>
        <v>0</v>
      </c>
      <c r="J20" s="29">
        <f t="shared" si="10"/>
        <v>0</v>
      </c>
      <c r="K20" s="29">
        <f>I20+J20+SUM($K$3:K19)</f>
        <v>0</v>
      </c>
      <c r="M20" s="52"/>
      <c r="N20" s="52"/>
      <c r="O20" s="38"/>
      <c r="P20" s="38"/>
      <c r="Q20" s="38"/>
      <c r="R20" s="38"/>
    </row>
    <row r="21" spans="1:18" x14ac:dyDescent="0.2">
      <c r="A21" s="56">
        <v>19</v>
      </c>
      <c r="B21" s="54">
        <v>2</v>
      </c>
      <c r="C21" s="55" t="s">
        <v>188</v>
      </c>
      <c r="D21" s="29">
        <f>IF(ISBLANK(C21),"",VLOOKUP(C21,Data!$A$9:$B$16,2,FALSE))</f>
        <v>18</v>
      </c>
      <c r="E21" s="29">
        <f>IF(OR(COUNTBLANK(B21)&gt;0,COUNTBLANK(D21)&gt;0),"",2*(Data!$B$7/1000)*B21+ 4*Data!$B$6/1000)</f>
        <v>0.13200000000000001</v>
      </c>
      <c r="F21" s="58" t="e">
        <f t="shared" si="6"/>
        <v>#VALUE!</v>
      </c>
      <c r="G21" s="58" t="e">
        <f t="shared" si="7"/>
        <v>#VALUE!</v>
      </c>
      <c r="H21" s="38" t="e">
        <f t="shared" si="8"/>
        <v>#VALUE!</v>
      </c>
      <c r="I21" s="57">
        <f t="shared" si="9"/>
        <v>0</v>
      </c>
      <c r="J21" s="57">
        <f t="shared" si="10"/>
        <v>0</v>
      </c>
      <c r="K21" s="29">
        <f>I21+J21+SUM($K$3:K20)</f>
        <v>0</v>
      </c>
      <c r="M21" s="52"/>
      <c r="N21" s="52"/>
      <c r="O21" s="38"/>
      <c r="P21" s="38"/>
      <c r="Q21" s="38"/>
      <c r="R21" s="38"/>
    </row>
    <row r="22" spans="1:18" x14ac:dyDescent="0.2">
      <c r="A22" s="35">
        <v>20</v>
      </c>
      <c r="B22" s="54">
        <v>2</v>
      </c>
      <c r="C22" s="55" t="s">
        <v>188</v>
      </c>
      <c r="D22" s="29">
        <f>IF(ISBLANK(C22),"",VLOOKUP(C22,Data!$A$9:$B$16,2,FALSE))</f>
        <v>18</v>
      </c>
      <c r="E22" s="29">
        <f>IF(OR(COUNTBLANK(B22)&gt;0,COUNTBLANK(D22)&gt;0),"",2*(Data!$B$7/1000)*B22+ 4*Data!$B$6/1000)</f>
        <v>0.13200000000000001</v>
      </c>
      <c r="F22" s="30" t="e">
        <f t="shared" si="6"/>
        <v>#VALUE!</v>
      </c>
      <c r="G22" s="30" t="e">
        <f t="shared" si="7"/>
        <v>#VALUE!</v>
      </c>
      <c r="H22" s="31" t="e">
        <f t="shared" si="8"/>
        <v>#VALUE!</v>
      </c>
      <c r="I22" s="29">
        <f t="shared" si="9"/>
        <v>0</v>
      </c>
      <c r="J22" s="29">
        <f t="shared" si="10"/>
        <v>0</v>
      </c>
      <c r="K22" s="29">
        <f>I22+J22+SUM($K$3:K21)</f>
        <v>0</v>
      </c>
      <c r="M22" s="50"/>
      <c r="N22" s="50"/>
    </row>
    <row r="23" spans="1:18" x14ac:dyDescent="0.2">
      <c r="A23" s="35">
        <v>21</v>
      </c>
      <c r="B23" s="54">
        <v>2</v>
      </c>
      <c r="C23" s="55" t="s">
        <v>188</v>
      </c>
      <c r="D23" s="29">
        <f>IF(ISBLANK(C23),"",VLOOKUP(C23,Data!$A$9:$B$16,2,FALSE))</f>
        <v>18</v>
      </c>
      <c r="E23" s="29">
        <f>IF(OR(COUNTBLANK(B23)&gt;0,COUNTBLANK(D23)&gt;0),"",2*(Data!$B$7/1000)*B23+ 4*Data!$B$6/1000)</f>
        <v>0.13200000000000001</v>
      </c>
      <c r="F23" s="30" t="e">
        <f t="shared" si="6"/>
        <v>#VALUE!</v>
      </c>
      <c r="G23" s="30" t="e">
        <f t="shared" si="7"/>
        <v>#VALUE!</v>
      </c>
      <c r="H23" s="31" t="e">
        <f t="shared" si="8"/>
        <v>#VALUE!</v>
      </c>
      <c r="I23" s="29">
        <f t="shared" si="9"/>
        <v>0</v>
      </c>
      <c r="J23" s="29">
        <f t="shared" si="10"/>
        <v>0</v>
      </c>
      <c r="K23" s="29">
        <f>I23+J23+SUM($K$3:K22)</f>
        <v>0</v>
      </c>
      <c r="M23" s="50"/>
      <c r="N23" s="50"/>
    </row>
    <row r="24" spans="1:18" x14ac:dyDescent="0.2">
      <c r="A24" s="35">
        <v>22</v>
      </c>
      <c r="B24" s="54">
        <v>2</v>
      </c>
      <c r="C24" s="55" t="s">
        <v>188</v>
      </c>
      <c r="D24" s="29">
        <f>IF(ISBLANK(C24),"",VLOOKUP(C24,Data!$A$9:$B$16,2,FALSE))</f>
        <v>18</v>
      </c>
      <c r="E24" s="29">
        <f>IF(OR(COUNTBLANK(B24)&gt;0,COUNTBLANK(D24)&gt;0),"",2*(Data!$B$7/1000)*B24+ 4*Data!$B$6/1000)</f>
        <v>0.13200000000000001</v>
      </c>
      <c r="F24" s="30" t="e">
        <f t="shared" si="6"/>
        <v>#VALUE!</v>
      </c>
      <c r="G24" s="30" t="e">
        <f t="shared" si="7"/>
        <v>#VALUE!</v>
      </c>
      <c r="H24" s="31" t="e">
        <f t="shared" si="8"/>
        <v>#VALUE!</v>
      </c>
      <c r="I24" s="29">
        <f t="shared" si="9"/>
        <v>0</v>
      </c>
      <c r="J24" s="29">
        <f t="shared" si="10"/>
        <v>0</v>
      </c>
      <c r="K24" s="29">
        <f>I24+J24+SUM($K$3:K23)</f>
        <v>0</v>
      </c>
      <c r="M24" s="50"/>
      <c r="N24" s="50"/>
    </row>
    <row r="25" spans="1:18" x14ac:dyDescent="0.2">
      <c r="A25" s="35">
        <v>23</v>
      </c>
      <c r="B25" s="54">
        <v>2</v>
      </c>
      <c r="C25" s="55" t="s">
        <v>188</v>
      </c>
      <c r="D25" s="29">
        <f>IF(ISBLANK(C25),"",VLOOKUP(C25,Data!$A$9:$B$16,2,FALSE))</f>
        <v>18</v>
      </c>
      <c r="E25" s="29">
        <f>IF(OR(COUNTBLANK(B25)&gt;0,COUNTBLANK(D25)&gt;0),"",2*(Data!$B$7/1000)*B25+ 4*Data!$B$6/1000)</f>
        <v>0.13200000000000001</v>
      </c>
      <c r="F25" s="30" t="e">
        <f t="shared" si="6"/>
        <v>#VALUE!</v>
      </c>
      <c r="G25" s="30" t="e">
        <f t="shared" si="7"/>
        <v>#VALUE!</v>
      </c>
      <c r="H25" s="31" t="e">
        <f t="shared" si="8"/>
        <v>#VALUE!</v>
      </c>
      <c r="I25" s="29">
        <f t="shared" si="9"/>
        <v>0</v>
      </c>
      <c r="J25" s="29">
        <f t="shared" si="10"/>
        <v>0</v>
      </c>
      <c r="K25" s="29">
        <f>I25+J25+SUM($K$3:K24)</f>
        <v>0</v>
      </c>
      <c r="M25" s="50"/>
      <c r="N25" s="50"/>
    </row>
    <row r="26" spans="1:18" ht="12.75" customHeight="1" x14ac:dyDescent="0.2">
      <c r="A26" s="35">
        <v>24</v>
      </c>
      <c r="B26" s="54">
        <v>2</v>
      </c>
      <c r="C26" s="55" t="s">
        <v>188</v>
      </c>
      <c r="D26" s="29">
        <f>IF(ISBLANK(C26),"",VLOOKUP(C26,Data!$A$9:$B$16,2,FALSE))</f>
        <v>18</v>
      </c>
      <c r="E26" s="29">
        <f>IF(OR(COUNTBLANK(B26)&gt;0,COUNTBLANK(D26)&gt;0),"",2*(Data!$B$7/1000)*B26+ 4*Data!$B$6/1000)</f>
        <v>0.13200000000000001</v>
      </c>
      <c r="F26" s="30" t="e">
        <f t="shared" si="6"/>
        <v>#VALUE!</v>
      </c>
      <c r="G26" s="30" t="e">
        <f t="shared" si="7"/>
        <v>#VALUE!</v>
      </c>
      <c r="H26" s="31" t="e">
        <f t="shared" si="8"/>
        <v>#VALUE!</v>
      </c>
      <c r="I26" s="29">
        <f t="shared" si="9"/>
        <v>0</v>
      </c>
      <c r="J26" s="29">
        <f t="shared" si="10"/>
        <v>0</v>
      </c>
      <c r="K26" s="29">
        <f>I26+J26+SUM($K$3:K25)</f>
        <v>0</v>
      </c>
      <c r="M26" s="50"/>
      <c r="N26" s="50"/>
    </row>
    <row r="27" spans="1:18" ht="12.75" customHeight="1" x14ac:dyDescent="0.25">
      <c r="A27" s="35">
        <v>25</v>
      </c>
      <c r="B27" s="54">
        <v>2</v>
      </c>
      <c r="C27" s="55" t="s">
        <v>188</v>
      </c>
      <c r="D27" s="29">
        <f>IF(ISBLANK(C27),"",VLOOKUP(C27,Data!$A$9:$B$16,2,FALSE))</f>
        <v>18</v>
      </c>
      <c r="E27" s="29">
        <f>IF(OR(COUNTBLANK(B27)&gt;0,COUNTBLANK(D27)&gt;0),"",2*(Data!$B$7/1000)*B27+ 4*Data!$B$6/1000)</f>
        <v>0.13200000000000001</v>
      </c>
      <c r="F27" s="30" t="e">
        <f t="shared" si="6"/>
        <v>#VALUE!</v>
      </c>
      <c r="G27" s="30" t="e">
        <f t="shared" si="7"/>
        <v>#VALUE!</v>
      </c>
      <c r="H27" s="31" t="e">
        <f t="shared" si="8"/>
        <v>#VALUE!</v>
      </c>
      <c r="I27" s="29">
        <f t="shared" si="9"/>
        <v>0</v>
      </c>
      <c r="J27" s="29">
        <f t="shared" si="10"/>
        <v>0</v>
      </c>
      <c r="K27" s="29">
        <f>I27+J27+SUM($K$3:K26)</f>
        <v>0</v>
      </c>
      <c r="M27" s="50"/>
      <c r="N27" s="50"/>
      <c r="P27" s="59"/>
    </row>
    <row r="28" spans="1:18" ht="12.75" customHeight="1" x14ac:dyDescent="0.2">
      <c r="A28" s="35">
        <v>26</v>
      </c>
      <c r="B28" s="54">
        <v>2</v>
      </c>
      <c r="C28" s="55" t="s">
        <v>188</v>
      </c>
      <c r="D28" s="29">
        <f>IF(ISBLANK(C28),"",VLOOKUP(C28,Data!$A$9:$B$16,2,FALSE))</f>
        <v>18</v>
      </c>
      <c r="E28" s="29">
        <f>IF(OR(COUNTBLANK(B28)&gt;0,COUNTBLANK(D28)&gt;0),"",2*(Data!$B$7/1000)*B28+ 4*Data!$B$6/1000)</f>
        <v>0.13200000000000001</v>
      </c>
      <c r="F28" s="30" t="e">
        <f t="shared" si="6"/>
        <v>#VALUE!</v>
      </c>
      <c r="G28" s="30" t="e">
        <f t="shared" si="7"/>
        <v>#VALUE!</v>
      </c>
      <c r="H28" s="31" t="e">
        <f t="shared" si="8"/>
        <v>#VALUE!</v>
      </c>
      <c r="I28" s="29">
        <f t="shared" si="9"/>
        <v>0</v>
      </c>
      <c r="J28" s="29">
        <f t="shared" si="10"/>
        <v>0</v>
      </c>
      <c r="K28" s="29">
        <f>I28+J28+SUM($K$3:K27)</f>
        <v>0</v>
      </c>
      <c r="M28" s="50"/>
      <c r="N28" s="50"/>
    </row>
    <row r="29" spans="1:18" ht="12.75" customHeight="1" x14ac:dyDescent="0.2">
      <c r="A29" s="35">
        <v>27</v>
      </c>
      <c r="B29" s="54">
        <v>2</v>
      </c>
      <c r="C29" s="55" t="s">
        <v>188</v>
      </c>
      <c r="D29" s="29">
        <f>IF(ISBLANK(C29),"",VLOOKUP(C29,Data!$A$9:$B$16,2,FALSE))</f>
        <v>18</v>
      </c>
      <c r="E29" s="29">
        <f>IF(OR(COUNTBLANK(B29)&gt;0,COUNTBLANK(D29)&gt;0),"",2*(Data!$B$7/1000)*B29+ 4*Data!$B$6/1000)</f>
        <v>0.13200000000000001</v>
      </c>
      <c r="F29" s="30" t="e">
        <f t="shared" si="6"/>
        <v>#VALUE!</v>
      </c>
      <c r="G29" s="30" t="e">
        <f t="shared" si="7"/>
        <v>#VALUE!</v>
      </c>
      <c r="H29" s="31" t="e">
        <f t="shared" si="8"/>
        <v>#VALUE!</v>
      </c>
      <c r="I29" s="29">
        <f t="shared" si="9"/>
        <v>0</v>
      </c>
      <c r="J29" s="29">
        <f t="shared" si="10"/>
        <v>0</v>
      </c>
      <c r="K29" s="29">
        <f>I29+J29+SUM($K$3:K28)</f>
        <v>0</v>
      </c>
      <c r="M29" s="50"/>
      <c r="N29" s="50"/>
    </row>
    <row r="30" spans="1:18" ht="12.75" customHeight="1" x14ac:dyDescent="0.2">
      <c r="A30" s="35">
        <v>28</v>
      </c>
      <c r="B30" s="54">
        <v>2</v>
      </c>
      <c r="C30" s="55" t="s">
        <v>188</v>
      </c>
      <c r="D30" s="29">
        <f>IF(ISBLANK(C30),"",VLOOKUP(C30,Data!$A$9:$B$16,2,FALSE))</f>
        <v>18</v>
      </c>
      <c r="E30" s="29">
        <f>IF(OR(COUNTBLANK(B30)&gt;0,COUNTBLANK(D30)&gt;0),"",2*(Data!$B$7/1000)*B30+ 4*Data!$B$6/1000)</f>
        <v>0.13200000000000001</v>
      </c>
      <c r="F30" s="30" t="e">
        <f t="shared" si="6"/>
        <v>#VALUE!</v>
      </c>
      <c r="G30" s="30" t="e">
        <f t="shared" si="7"/>
        <v>#VALUE!</v>
      </c>
      <c r="H30" s="31" t="e">
        <f t="shared" si="8"/>
        <v>#VALUE!</v>
      </c>
      <c r="I30" s="29">
        <f t="shared" si="9"/>
        <v>0</v>
      </c>
      <c r="J30" s="29">
        <f t="shared" si="10"/>
        <v>0</v>
      </c>
      <c r="K30" s="29">
        <f>I30+J30+SUM($K$3:K29)</f>
        <v>0</v>
      </c>
      <c r="M30" s="50"/>
      <c r="N30" s="50"/>
    </row>
    <row r="31" spans="1:18" ht="12.75" customHeight="1" x14ac:dyDescent="0.2">
      <c r="A31" s="35">
        <v>29</v>
      </c>
      <c r="B31" s="54">
        <v>2</v>
      </c>
      <c r="C31" s="55" t="s">
        <v>188</v>
      </c>
      <c r="D31" s="29">
        <f>IF(ISBLANK(C31),"",VLOOKUP(C31,Data!$A$9:$B$16,2,FALSE))</f>
        <v>18</v>
      </c>
      <c r="E31" s="29">
        <f>IF(OR(COUNTBLANK(B31)&gt;0,COUNTBLANK(D31)&gt;0),"",2*(Data!$B$7/1000)*B31+ 4*Data!$B$6/1000)</f>
        <v>0.13200000000000001</v>
      </c>
      <c r="F31" s="30" t="e">
        <f t="shared" si="6"/>
        <v>#VALUE!</v>
      </c>
      <c r="G31" s="30" t="e">
        <f t="shared" si="7"/>
        <v>#VALUE!</v>
      </c>
      <c r="H31" s="31" t="e">
        <f t="shared" si="8"/>
        <v>#VALUE!</v>
      </c>
      <c r="I31" s="29">
        <f t="shared" si="9"/>
        <v>0</v>
      </c>
      <c r="J31" s="29">
        <f t="shared" si="10"/>
        <v>0</v>
      </c>
      <c r="K31" s="29">
        <f>I31+J31+SUM($K$3:K30)</f>
        <v>0</v>
      </c>
      <c r="M31" s="50"/>
      <c r="N31" s="50"/>
    </row>
    <row r="32" spans="1:18" ht="12.75" customHeight="1" x14ac:dyDescent="0.2">
      <c r="A32" s="35">
        <v>30</v>
      </c>
      <c r="B32" s="54">
        <v>2</v>
      </c>
      <c r="C32" s="55" t="s">
        <v>188</v>
      </c>
      <c r="D32" s="29">
        <f>IF(ISBLANK(C32),"",VLOOKUP(C32,Data!$A$9:$B$16,2,FALSE))</f>
        <v>18</v>
      </c>
      <c r="E32" s="29">
        <f>IF(OR(COUNTBLANK(B32)&gt;0,COUNTBLANK(D32)&gt;0),"",2*(Data!$B$7/1000)*B32+ 4*Data!$B$6/1000)</f>
        <v>0.13200000000000001</v>
      </c>
      <c r="F32" s="30" t="e">
        <f t="shared" si="6"/>
        <v>#VALUE!</v>
      </c>
      <c r="G32" s="30" t="e">
        <f t="shared" si="7"/>
        <v>#VALUE!</v>
      </c>
      <c r="H32" s="31" t="e">
        <f t="shared" si="8"/>
        <v>#VALUE!</v>
      </c>
      <c r="I32" s="29">
        <f t="shared" si="9"/>
        <v>0</v>
      </c>
      <c r="J32" s="29">
        <f t="shared" si="10"/>
        <v>0</v>
      </c>
      <c r="K32" s="29">
        <f>I32+J32+SUM($K$3:K31)</f>
        <v>0</v>
      </c>
      <c r="M32" s="50"/>
      <c r="N32" s="50"/>
    </row>
    <row r="33" spans="1:15" ht="12.75" customHeight="1" x14ac:dyDescent="0.25">
      <c r="A33" s="35">
        <v>31</v>
      </c>
      <c r="B33" s="54">
        <v>2</v>
      </c>
      <c r="C33" s="55" t="s">
        <v>188</v>
      </c>
      <c r="D33" s="29">
        <f>IF(ISBLANK(C33),"",VLOOKUP(C33,Data!$A$9:$B$16,2,FALSE))</f>
        <v>18</v>
      </c>
      <c r="E33" s="29">
        <f>IF(OR(COUNTBLANK(B33)&gt;0,COUNTBLANK(D33)&gt;0),"",2*(Data!$B$7/1000)*B33+ 4*Data!$B$6/1000)</f>
        <v>0.13200000000000001</v>
      </c>
      <c r="F33" s="30" t="e">
        <f t="shared" si="6"/>
        <v>#VALUE!</v>
      </c>
      <c r="G33" s="30" t="e">
        <f t="shared" si="7"/>
        <v>#VALUE!</v>
      </c>
      <c r="H33" s="31" t="e">
        <f t="shared" si="8"/>
        <v>#VALUE!</v>
      </c>
      <c r="I33" s="29">
        <f t="shared" si="9"/>
        <v>0</v>
      </c>
      <c r="J33" s="29">
        <f t="shared" si="10"/>
        <v>0</v>
      </c>
      <c r="K33" s="29">
        <f>I33+J33+SUM($K$3:K32)</f>
        <v>0</v>
      </c>
      <c r="M33" s="50"/>
      <c r="N33" s="50"/>
      <c r="O33" s="59"/>
    </row>
    <row r="34" spans="1:15" ht="12.75" customHeight="1" x14ac:dyDescent="0.2">
      <c r="A34" s="35">
        <v>32</v>
      </c>
      <c r="B34" s="54">
        <v>2</v>
      </c>
      <c r="C34" s="55" t="s">
        <v>188</v>
      </c>
      <c r="D34" s="29">
        <f>IF(ISBLANK(C34),"",VLOOKUP(C34,Data!$A$9:$B$16,2,FALSE))</f>
        <v>18</v>
      </c>
      <c r="E34" s="29">
        <f>IF(OR(COUNTBLANK(B34)&gt;0,COUNTBLANK(D34)&gt;0),"",2*(Data!$B$7/1000)*B34+ 4*Data!$B$6/1000)</f>
        <v>0.13200000000000001</v>
      </c>
      <c r="F34" s="30" t="e">
        <f t="shared" si="6"/>
        <v>#VALUE!</v>
      </c>
      <c r="G34" s="30" t="e">
        <f t="shared" si="7"/>
        <v>#VALUE!</v>
      </c>
      <c r="H34" s="31" t="e">
        <f t="shared" si="8"/>
        <v>#VALUE!</v>
      </c>
      <c r="I34" s="29">
        <f t="shared" si="9"/>
        <v>0</v>
      </c>
      <c r="J34" s="29">
        <f t="shared" si="10"/>
        <v>0</v>
      </c>
      <c r="K34" s="29">
        <f>I34+J34+SUM($K$3:K33)</f>
        <v>0</v>
      </c>
      <c r="M34" s="50"/>
      <c r="N34" s="50"/>
    </row>
    <row r="35" spans="1:15" ht="12.75" customHeight="1" x14ac:dyDescent="0.2">
      <c r="A35" s="35">
        <v>33</v>
      </c>
      <c r="B35" s="54">
        <v>2</v>
      </c>
      <c r="C35" s="55" t="s">
        <v>188</v>
      </c>
      <c r="D35" s="29">
        <f>IF(ISBLANK(C35),"",VLOOKUP(C35,Data!$A$9:$B$16,2,FALSE))</f>
        <v>18</v>
      </c>
      <c r="E35" s="29">
        <f>IF(OR(COUNTBLANK(B35)&gt;0,COUNTBLANK(D35)&gt;0),"",2*(Data!$B$7/1000)*B35+ 4*Data!$B$6/1000)</f>
        <v>0.13200000000000001</v>
      </c>
      <c r="F35" s="30" t="e">
        <f t="shared" si="6"/>
        <v>#VALUE!</v>
      </c>
      <c r="G35" s="30" t="e">
        <f t="shared" si="7"/>
        <v>#VALUE!</v>
      </c>
      <c r="H35" s="31" t="e">
        <f t="shared" si="8"/>
        <v>#VALUE!</v>
      </c>
      <c r="I35" s="29">
        <f t="shared" si="9"/>
        <v>0</v>
      </c>
      <c r="J35" s="29">
        <f t="shared" si="10"/>
        <v>0</v>
      </c>
      <c r="K35" s="29">
        <f>I35+J35+SUM($K$3:K34)</f>
        <v>0</v>
      </c>
      <c r="M35" s="50"/>
      <c r="N35" s="50"/>
    </row>
    <row r="36" spans="1:15" x14ac:dyDescent="0.2">
      <c r="A36" s="35">
        <v>34</v>
      </c>
      <c r="B36" s="54">
        <v>2</v>
      </c>
      <c r="C36" s="55" t="s">
        <v>188</v>
      </c>
      <c r="D36" s="29">
        <f>IF(ISBLANK(C36),"",VLOOKUP(C36,Data!$A$9:$B$16,2,FALSE))</f>
        <v>18</v>
      </c>
      <c r="E36" s="29">
        <f>IF(OR(COUNTBLANK(B36)&gt;0,COUNTBLANK(D36)&gt;0),"",2*(Data!$B$7/1000)*B36+ 4*Data!$B$6/1000)</f>
        <v>0.13200000000000001</v>
      </c>
      <c r="F36" s="30" t="e">
        <f t="shared" ref="F36:F38" si="11">IF(COUNTBLANK(E36)&gt;0,"",F35-(H35*E36))</f>
        <v>#VALUE!</v>
      </c>
      <c r="G36" s="30" t="e">
        <f t="shared" ref="G36:G38" si="12">IF(COUNTBLANK(F36)&gt;0,"",(D36/F36)*1000)</f>
        <v>#VALUE!</v>
      </c>
      <c r="H36" s="31" t="e">
        <f t="shared" ref="H36:H38" si="13">IF(COUNTBLANK(G36)&gt;0,"",H35-G35/1000)</f>
        <v>#VALUE!</v>
      </c>
      <c r="I36" s="29">
        <f t="shared" ref="I36:I38" si="14">IFERROR(IF(LEFT(C36,6)="DCNM-D",IF((F36&lt;35),1,0),IF((F36&lt;31),1,0)),)</f>
        <v>0</v>
      </c>
      <c r="J36" s="29">
        <f t="shared" ref="J36:J38" si="15">IFERROR(IF(H36&lt;G36/1000,1,0),)</f>
        <v>0</v>
      </c>
      <c r="K36" s="29">
        <f>I36+J36+SUM($K$3:K35)</f>
        <v>0</v>
      </c>
      <c r="M36" s="50"/>
      <c r="N36" s="50"/>
    </row>
    <row r="37" spans="1:15" x14ac:dyDescent="0.2">
      <c r="A37" s="35">
        <v>35</v>
      </c>
      <c r="B37" s="54">
        <v>2</v>
      </c>
      <c r="C37" s="55" t="s">
        <v>188</v>
      </c>
      <c r="D37" s="29">
        <f>IF(ISBLANK(C37),"",VLOOKUP(C37,Data!$A$9:$B$16,2,FALSE))</f>
        <v>18</v>
      </c>
      <c r="E37" s="29">
        <f>IF(OR(COUNTBLANK(B37)&gt;0,COUNTBLANK(D37)&gt;0),"",2*(Data!$B$7/1000)*B37+ 4*Data!$B$6/1000)</f>
        <v>0.13200000000000001</v>
      </c>
      <c r="F37" s="30" t="e">
        <f t="shared" si="11"/>
        <v>#VALUE!</v>
      </c>
      <c r="G37" s="30" t="e">
        <f t="shared" si="12"/>
        <v>#VALUE!</v>
      </c>
      <c r="H37" s="31" t="e">
        <f t="shared" si="13"/>
        <v>#VALUE!</v>
      </c>
      <c r="I37" s="29">
        <f t="shared" si="14"/>
        <v>0</v>
      </c>
      <c r="J37" s="29">
        <f t="shared" si="15"/>
        <v>0</v>
      </c>
      <c r="K37" s="29">
        <f>I37+J37+SUM($K$3:K36)</f>
        <v>0</v>
      </c>
      <c r="M37" s="50"/>
      <c r="N37" s="50"/>
    </row>
    <row r="38" spans="1:15" x14ac:dyDescent="0.2">
      <c r="A38" s="35">
        <v>36</v>
      </c>
      <c r="B38" s="54">
        <v>2</v>
      </c>
      <c r="C38" s="55" t="s">
        <v>188</v>
      </c>
      <c r="D38" s="29">
        <f>IF(ISBLANK(C38),"",VLOOKUP(C38,Data!$A$9:$B$16,2,FALSE))</f>
        <v>18</v>
      </c>
      <c r="E38" s="29">
        <f>IF(OR(COUNTBLANK(B38)&gt;0,COUNTBLANK(D38)&gt;0),"",2*(Data!$B$7/1000)*B38+ 4*Data!$B$6/1000)</f>
        <v>0.13200000000000001</v>
      </c>
      <c r="F38" s="30" t="e">
        <f t="shared" si="11"/>
        <v>#VALUE!</v>
      </c>
      <c r="G38" s="30" t="e">
        <f t="shared" si="12"/>
        <v>#VALUE!</v>
      </c>
      <c r="H38" s="31" t="e">
        <f t="shared" si="13"/>
        <v>#VALUE!</v>
      </c>
      <c r="I38" s="29">
        <f t="shared" si="14"/>
        <v>0</v>
      </c>
      <c r="J38" s="29">
        <f t="shared" si="15"/>
        <v>0</v>
      </c>
      <c r="K38" s="29">
        <f>I38+J38+SUM($K$3:K37)</f>
        <v>0</v>
      </c>
      <c r="M38" s="50"/>
      <c r="N38" s="50"/>
    </row>
    <row r="39" spans="1:15" x14ac:dyDescent="0.2">
      <c r="A39" s="35">
        <v>37</v>
      </c>
      <c r="B39" s="54">
        <v>2</v>
      </c>
      <c r="C39" s="55" t="s">
        <v>188</v>
      </c>
      <c r="D39" s="29">
        <f>IF(ISBLANK(C39),"",VLOOKUP(C39,Data!$A$9:$B$16,2,FALSE))</f>
        <v>18</v>
      </c>
      <c r="E39" s="29">
        <f>IF(OR(COUNTBLANK(B39)&gt;0,COUNTBLANK(D39)&gt;0),"",2*(Data!$B$7/1000)*B39+ 4*Data!$B$6/1000)</f>
        <v>0.13200000000000001</v>
      </c>
      <c r="F39" s="30" t="e">
        <f t="shared" ref="F39:F41" si="16">IF(COUNTBLANK(E39)&gt;0,"",F38-(H38*E39))</f>
        <v>#VALUE!</v>
      </c>
      <c r="G39" s="30" t="e">
        <f t="shared" ref="G39:G41" si="17">IF(COUNTBLANK(F39)&gt;0,"",(D39/F39)*1000)</f>
        <v>#VALUE!</v>
      </c>
      <c r="H39" s="31" t="e">
        <f t="shared" ref="H39:H41" si="18">IF(COUNTBLANK(G39)&gt;0,"",H38-G38/1000)</f>
        <v>#VALUE!</v>
      </c>
      <c r="I39" s="29">
        <f t="shared" ref="I39:I40" si="19">IFERROR(IF(LEFT(C39,6)="DCNM-D",IF((F39&lt;35),1,0),IF((F39&lt;31),1,0)),)</f>
        <v>0</v>
      </c>
      <c r="J39" s="29">
        <f t="shared" ref="J39:J40" si="20">IFERROR(IF(H39&lt;G39/1000,1,0),)</f>
        <v>0</v>
      </c>
      <c r="K39" s="29">
        <f>I39+J39+SUM($K$3:K38)</f>
        <v>0</v>
      </c>
      <c r="M39" s="50"/>
      <c r="N39" s="50"/>
    </row>
    <row r="40" spans="1:15" x14ac:dyDescent="0.2">
      <c r="A40" s="35">
        <v>38</v>
      </c>
      <c r="B40" s="54">
        <v>2</v>
      </c>
      <c r="C40" s="55" t="s">
        <v>188</v>
      </c>
      <c r="D40" s="29">
        <f>IF(ISBLANK(C40),"",VLOOKUP(C40,Data!$A$9:$B$16,2,FALSE))</f>
        <v>18</v>
      </c>
      <c r="E40" s="29">
        <f>IF(OR(COUNTBLANK(B40)&gt;0,COUNTBLANK(D40)&gt;0),"",2*(Data!$B$7/1000)*B40+ 4*Data!$B$6/1000)</f>
        <v>0.13200000000000001</v>
      </c>
      <c r="F40" s="30" t="e">
        <f t="shared" si="16"/>
        <v>#VALUE!</v>
      </c>
      <c r="G40" s="30" t="e">
        <f t="shared" si="17"/>
        <v>#VALUE!</v>
      </c>
      <c r="H40" s="31" t="e">
        <f t="shared" si="18"/>
        <v>#VALUE!</v>
      </c>
      <c r="I40" s="29">
        <f t="shared" si="19"/>
        <v>0</v>
      </c>
      <c r="J40" s="29">
        <f t="shared" si="20"/>
        <v>0</v>
      </c>
      <c r="K40" s="29">
        <f>I40+J40+SUM($K$3:K39)</f>
        <v>0</v>
      </c>
      <c r="M40" s="50"/>
      <c r="N40" s="50"/>
    </row>
    <row r="41" spans="1:15" x14ac:dyDescent="0.2">
      <c r="A41" s="35">
        <v>39</v>
      </c>
      <c r="B41" s="54">
        <v>2</v>
      </c>
      <c r="C41" s="55" t="s">
        <v>188</v>
      </c>
      <c r="D41" s="29">
        <f>IF(ISBLANK(C41),"",VLOOKUP(C41,Data!$A$9:$B$16,2,FALSE))</f>
        <v>18</v>
      </c>
      <c r="E41" s="29">
        <f>IF(OR(COUNTBLANK(B41)&gt;0,COUNTBLANK(D41)&gt;0),"",2*(Data!$B$7/1000)*B41+ 4*Data!$B$6/1000)</f>
        <v>0.13200000000000001</v>
      </c>
      <c r="F41" s="30" t="e">
        <f t="shared" si="16"/>
        <v>#VALUE!</v>
      </c>
      <c r="G41" s="30" t="e">
        <f t="shared" si="17"/>
        <v>#VALUE!</v>
      </c>
      <c r="H41" s="31" t="e">
        <f t="shared" si="18"/>
        <v>#VALUE!</v>
      </c>
      <c r="I41" s="29">
        <f t="shared" ref="I41" si="21">IFERROR(IF(LEFT(C41,6)="DCNM-D",IF((F41&lt;35),1,0),IF((F41&lt;31),1,0)),)</f>
        <v>0</v>
      </c>
      <c r="J41" s="29">
        <f t="shared" ref="J41" si="22">IFERROR(IF(H41&lt;G41/1000,1,0),)</f>
        <v>0</v>
      </c>
      <c r="K41" s="29">
        <f>I41+J41+SUM($K$3:K40)</f>
        <v>0</v>
      </c>
      <c r="M41" s="50"/>
      <c r="N41" s="50"/>
    </row>
    <row r="42" spans="1:15" x14ac:dyDescent="0.2">
      <c r="A42" s="35">
        <v>40</v>
      </c>
      <c r="B42" s="54">
        <v>2</v>
      </c>
      <c r="C42" s="55" t="s">
        <v>188</v>
      </c>
      <c r="D42" s="29">
        <f>IF(ISBLANK(C42),"",VLOOKUP(C42,Data!$A$9:$B$16,2,FALSE))</f>
        <v>18</v>
      </c>
      <c r="E42" s="29">
        <f>IF(OR(COUNTBLANK(B42)&gt;0,COUNTBLANK(D42)&gt;0),"",2*(Data!$B$7/1000)*B42+ 4*Data!$B$6/1000)</f>
        <v>0.13200000000000001</v>
      </c>
      <c r="F42" s="30" t="e">
        <f t="shared" ref="F42" si="23">IF(COUNTBLANK(E42)&gt;0,"",F41-(H41*E42))</f>
        <v>#VALUE!</v>
      </c>
      <c r="G42" s="30" t="e">
        <f t="shared" ref="G42" si="24">IF(COUNTBLANK(F42)&gt;0,"",(D42/F42)*1000)</f>
        <v>#VALUE!</v>
      </c>
      <c r="H42" s="31" t="e">
        <f t="shared" ref="H42" si="25">IF(COUNTBLANK(G42)&gt;0,"",H41-G41/1000)</f>
        <v>#VALUE!</v>
      </c>
      <c r="I42" s="29">
        <f t="shared" ref="I42" si="26">IFERROR(IF(LEFT(C42,6)="DCNM-D",IF((F42&lt;35),1,0),IF((F42&lt;31),1,0)),)</f>
        <v>0</v>
      </c>
      <c r="J42" s="29">
        <f t="shared" ref="J42" si="27">IFERROR(IF(H42&lt;G42/1000,1,0),)</f>
        <v>0</v>
      </c>
      <c r="K42" s="29">
        <f>I42+J42+SUM($K$3:K41)</f>
        <v>0</v>
      </c>
      <c r="M42" s="50"/>
      <c r="N42" s="50"/>
    </row>
    <row r="43" spans="1:15" x14ac:dyDescent="0.2">
      <c r="A43" s="35"/>
      <c r="F43" s="30"/>
      <c r="G43" s="30"/>
      <c r="H43" s="31"/>
      <c r="I43" s="29">
        <v>1</v>
      </c>
      <c r="J43" s="29">
        <v>1</v>
      </c>
    </row>
    <row r="44" spans="1:15" x14ac:dyDescent="0.2">
      <c r="A44" s="35"/>
      <c r="F44" s="30"/>
      <c r="G44" s="30"/>
      <c r="H44" s="31"/>
    </row>
    <row r="45" spans="1:15" x14ac:dyDescent="0.2">
      <c r="A45" s="35"/>
      <c r="F45" s="30"/>
      <c r="G45" s="30"/>
      <c r="H45" s="31"/>
    </row>
    <row r="46" spans="1:15" x14ac:dyDescent="0.2">
      <c r="A46" s="35"/>
      <c r="F46" s="30"/>
      <c r="G46" s="30"/>
      <c r="H46" s="31"/>
    </row>
  </sheetData>
  <sheetProtection password="D3D3" sheet="1" objects="1" scenarios="1" selectLockedCells="1"/>
  <conditionalFormatting sqref="I44:K44 A43:H46 A3:K42">
    <cfRule type="expression" dxfId="2" priority="2">
      <formula>ISERROR(INDIRECT("F"&amp;ROW()))</formula>
    </cfRule>
    <cfRule type="expression" dxfId="1" priority="4">
      <formula>INDIRECT("K"&amp;ROW())&gt;0</formula>
    </cfRule>
    <cfRule type="expression" dxfId="0" priority="1" stopIfTrue="1">
      <formula>INDIRECT("B"&amp;ROW())=""</formula>
    </cfRule>
  </conditionalFormatting>
  <dataValidations count="2">
    <dataValidation type="decimal" allowBlank="1" showInputMessage="1" showErrorMessage="1" errorTitle="Cable length" error="Enter a value =&gt; 2 and &lt;= 99 or leave the cell empty." sqref="B43:B46">
      <formula1>2</formula1>
      <formula2>99</formula2>
    </dataValidation>
    <dataValidation type="decimal" allowBlank="1" showInputMessage="1" showErrorMessage="1" errorTitle="Cable length" error="Enter a value =&gt; 2 and &lt;= 325 or leave the cell empty." sqref="B3:B42">
      <formula1>2</formula1>
      <formula2>325</formula2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Data!$A$8:$A$12</xm:f>
          </x14:formula1>
          <xm:sqref>C43:C46</xm:sqref>
        </x14:dataValidation>
        <x14:dataValidation type="list" allowBlank="1" showInputMessage="1" showErrorMessage="1">
          <x14:formula1>
            <xm:f>Data!$A$8:$A$16</xm:f>
          </x14:formula1>
          <xm:sqref>C3:C42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9"/>
  <sheetViews>
    <sheetView workbookViewId="0">
      <selection activeCell="A10" sqref="A10"/>
    </sheetView>
  </sheetViews>
  <sheetFormatPr defaultRowHeight="12.75" x14ac:dyDescent="0.2"/>
  <cols>
    <col min="1" max="1" width="12.28515625" style="47" customWidth="1"/>
    <col min="2" max="2" width="13" style="47" customWidth="1"/>
    <col min="3" max="3" width="22.140625" style="47" customWidth="1"/>
    <col min="4" max="4" width="89" style="47" bestFit="1" customWidth="1"/>
  </cols>
  <sheetData>
    <row r="2" spans="1:4" ht="13.5" thickBot="1" x14ac:dyDescent="0.25">
      <c r="A2" s="45" t="s">
        <v>158</v>
      </c>
      <c r="B2" s="45" t="s">
        <v>157</v>
      </c>
      <c r="C2" s="45" t="s">
        <v>164</v>
      </c>
      <c r="D2" s="45" t="s">
        <v>162</v>
      </c>
    </row>
    <row r="3" spans="1:4" x14ac:dyDescent="0.2">
      <c r="A3" s="47">
        <v>1</v>
      </c>
      <c r="B3" s="46">
        <v>41806</v>
      </c>
      <c r="C3" s="47" t="s">
        <v>165</v>
      </c>
      <c r="D3" s="47" t="s">
        <v>163</v>
      </c>
    </row>
    <row r="4" spans="1:4" x14ac:dyDescent="0.2">
      <c r="A4" s="47" t="s">
        <v>161</v>
      </c>
      <c r="B4" s="46">
        <v>41836</v>
      </c>
      <c r="C4" s="47" t="s">
        <v>166</v>
      </c>
      <c r="D4" s="47" t="s">
        <v>167</v>
      </c>
    </row>
    <row r="5" spans="1:4" x14ac:dyDescent="0.2">
      <c r="A5" s="47" t="s">
        <v>168</v>
      </c>
      <c r="B5" s="46">
        <v>41926</v>
      </c>
      <c r="C5" s="47" t="s">
        <v>170</v>
      </c>
      <c r="D5" s="47" t="s">
        <v>171</v>
      </c>
    </row>
    <row r="6" spans="1:4" x14ac:dyDescent="0.2">
      <c r="A6" s="47" t="s">
        <v>174</v>
      </c>
      <c r="B6" s="46">
        <v>42439</v>
      </c>
      <c r="C6" s="47" t="s">
        <v>165</v>
      </c>
      <c r="D6" s="47" t="s">
        <v>178</v>
      </c>
    </row>
    <row r="7" spans="1:4" x14ac:dyDescent="0.2">
      <c r="A7" s="47" t="s">
        <v>181</v>
      </c>
      <c r="B7" s="46">
        <v>42516</v>
      </c>
      <c r="C7" s="47" t="s">
        <v>165</v>
      </c>
      <c r="D7" s="47" t="s">
        <v>182</v>
      </c>
    </row>
    <row r="8" spans="1:4" x14ac:dyDescent="0.2">
      <c r="A8" s="47" t="s">
        <v>190</v>
      </c>
      <c r="B8" s="46">
        <v>43211</v>
      </c>
      <c r="C8" s="47" t="s">
        <v>165</v>
      </c>
      <c r="D8" s="47" t="s">
        <v>189</v>
      </c>
    </row>
    <row r="9" spans="1:4" x14ac:dyDescent="0.2">
      <c r="A9" s="47" t="s">
        <v>191</v>
      </c>
      <c r="B9" s="46">
        <v>43363</v>
      </c>
      <c r="C9" s="47" t="s">
        <v>165</v>
      </c>
      <c r="D9" s="47" t="s">
        <v>192</v>
      </c>
    </row>
  </sheetData>
  <sheetProtection password="D3D3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Intro</vt:lpstr>
      <vt:lpstr>Calculate</vt:lpstr>
      <vt:lpstr>Current</vt:lpstr>
      <vt:lpstr>ITooLow</vt:lpstr>
      <vt:lpstr>Unit</vt:lpstr>
      <vt:lpstr>VTooLow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Calculation tool for DICENTIS</dc:title>
  <dc:creator>Marc Smaak;Sjack Schellekens</dc:creator>
  <dc:description>Please allow marco's to be able to use the tool.</dc:description>
  <cp:lastModifiedBy>Schellekens Sjack (ST-CO/MKP4)</cp:lastModifiedBy>
  <cp:lastPrinted>2016-06-01T13:45:29Z</cp:lastPrinted>
  <dcterms:created xsi:type="dcterms:W3CDTF">2012-08-22T14:26:54Z</dcterms:created>
  <dcterms:modified xsi:type="dcterms:W3CDTF">2018-09-20T08:46:33Z</dcterms:modified>
  <cp:category>Tool</cp:category>
</cp:coreProperties>
</file>